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50" windowHeight="7215" tabRatio="1000" activeTab="2"/>
  </bookViews>
  <sheets>
    <sheet name="บันทึกข้อความ" sheetId="1" r:id="rId1"/>
    <sheet name="งบทดลอง" sheetId="2" r:id="rId2"/>
    <sheet name="ประกอบงบทดลอง" sheetId="3" r:id="rId3"/>
    <sheet name="รับ-จ่ายนิว" sheetId="4" r:id="rId4"/>
    <sheet name="ประกอบงบรับ-จ่าย" sheetId="5" r:id="rId5"/>
    <sheet name="งบเทียบยอด (2)" sheetId="6" r:id="rId6"/>
    <sheet name="ประกาศ" sheetId="7" r:id="rId7"/>
    <sheet name="งบกระแสเงินสด" sheetId="8" r:id="rId8"/>
    <sheet name="รายละเอียดประกอบงบทดลอง" sheetId="9" r:id="rId9"/>
    <sheet name="ทะเบียนเงินรายรับ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<sst xmlns="http://schemas.openxmlformats.org/spreadsheetml/2006/main" count="4855" uniqueCount="629">
  <si>
    <t>ลงชื่อ.............................................</t>
  </si>
  <si>
    <t xml:space="preserve">      ผู้อำนวยการกองคลัง</t>
  </si>
  <si>
    <t xml:space="preserve">             (ลงชื่อ)…..............………………</t>
  </si>
  <si>
    <t xml:space="preserve">        (ลงชื่อ)…………....................………</t>
  </si>
  <si>
    <t xml:space="preserve">                  ผู้อำนวยการกองคลัง</t>
  </si>
  <si>
    <t xml:space="preserve">                 (ลงชื่อ)……….....................…………</t>
  </si>
  <si>
    <t xml:space="preserve">  - เพื่อทราบ</t>
  </si>
  <si>
    <t xml:space="preserve">  - ทราบ</t>
  </si>
  <si>
    <t>เช็คเลขที่</t>
  </si>
  <si>
    <t>ภาษีมูลค่าเพิ่ม 1 ใน 9</t>
  </si>
  <si>
    <t>ค่าธรรมเนียมสิทธิ์และนิติกรรมที่ดิน</t>
  </si>
  <si>
    <t>เงินฝากธนาคาร  เลขที่บัญชี  821-2-59182-6</t>
  </si>
  <si>
    <t>รายจ่ายรอจ่าย</t>
  </si>
  <si>
    <t>องค์การบริหารส่วนตำบลสำโรง  ตำบลสำโรง  อำเภอปักธงชัย  จังหวัดนครราชสีมา</t>
  </si>
  <si>
    <t>ตำบลสำโรง   อำเภอปักธงชัย    จังหวัดนครราชสีมา</t>
  </si>
  <si>
    <t>ภาษีหัก ณ ที่จ่าย</t>
  </si>
  <si>
    <t>ค่าใช้จ่าย 5 %</t>
  </si>
  <si>
    <t>ส่วนลด  6  %</t>
  </si>
  <si>
    <t>รายจ่ายค้างจ่าย</t>
  </si>
  <si>
    <t>ภาษีบำรุงท้องที่</t>
  </si>
  <si>
    <t>ภาษีสุรา</t>
  </si>
  <si>
    <t>ภาษีสรรพสามิต</t>
  </si>
  <si>
    <t>ค่าภาคหลวงปิโตรเลี่ยม</t>
  </si>
  <si>
    <t>ค่าธรรมเนียมเกี่ยวกับการควบคุมอาคาร</t>
  </si>
  <si>
    <t>ภาษีธุรกิจเฉพาะ</t>
  </si>
  <si>
    <t xml:space="preserve">     (นางรพีพรรณ  สุวัฒนะพันธ์)</t>
  </si>
  <si>
    <t xml:space="preserve">        นายกองค์การบริหารส่วนตำบลสำโรง</t>
  </si>
  <si>
    <t>ค่าขายแบบแปลน</t>
  </si>
  <si>
    <t>เงินอุดหนุนทั่วไป</t>
  </si>
  <si>
    <t>ชื่อบัญชี</t>
  </si>
  <si>
    <t>รหัสบัญชี</t>
  </si>
  <si>
    <t>เดบิต</t>
  </si>
  <si>
    <t>เครดิต</t>
  </si>
  <si>
    <t>ค่าจ้างชั่วคราว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</si>
  <si>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</si>
  <si>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</si>
  <si>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</si>
  <si>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</si>
  <si>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</si>
  <si>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ประมาณการ</t>
  </si>
  <si>
    <t>บาท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</si>
  <si>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</si>
  <si>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</si>
  <si>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</si>
  <si>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</si>
  <si>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งบกลาง</t>
  </si>
  <si>
    <t>รวม</t>
  </si>
  <si>
    <t>ที่ สก 73001/</t>
  </si>
  <si>
    <t>ที่ทำการองค์การบริหารส่วนตำบลแซร์ออ</t>
  </si>
  <si>
    <t>อำเภอวัฒนานคร  จังหวัดสระแก้ว 27160</t>
  </si>
  <si>
    <t>โทร./0-9832-8420</t>
  </si>
  <si>
    <t>ส่วนการคลัง</t>
  </si>
  <si>
    <t xml:space="preserve">    ขอแสดงความนับถือ</t>
  </si>
  <si>
    <t xml:space="preserve">  </t>
  </si>
  <si>
    <t>นายกองค์การบริหารส่วนตำบลแซร์ออ</t>
  </si>
  <si>
    <t>ลงชื่อ</t>
  </si>
  <si>
    <t>เรื่อง  สั่งซื้อแบบพิมพ์</t>
  </si>
  <si>
    <t xml:space="preserve">         เมษายน    2547</t>
  </si>
  <si>
    <t>เรียน  ผู้อำนวยการโรงพิมพ์อาสารักษาดินแดน</t>
  </si>
  <si>
    <t>ด้วยองค์การบริหารส่วนตำบลแซร์ออ  มีความประสงค์สั่งซื้อแบบพิมพ์เพื่อใช้ในราชการตามบัญชี</t>
  </si>
  <si>
    <t>รายการแบบพิมพ์ที่แนบมาพร้อมหนังสือนี้   จำนวน  1  ชุด</t>
  </si>
  <si>
    <t>จึงเรียนมาเพื่อทราบและดำเนินการต่อไป</t>
  </si>
  <si>
    <t xml:space="preserve">      (นายสมเดช  เงินหล่อ)</t>
  </si>
  <si>
    <t xml:space="preserve">สิ่งที่ส่งมาด้วย    1. บัญชีรายการแบบพิมพ์                          จำนวน   1  ชุด </t>
  </si>
  <si>
    <t>รายละเอียด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</si>
  <si>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</si>
  <si>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</si>
  <si>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</si>
  <si>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</si>
  <si>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</si>
  <si>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</si>
  <si>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 xml:space="preserve">บวก:หรือ (หัก) รายการกระทบยอดอื่น ๆ  </t>
  </si>
  <si>
    <t>ผู้จัดทำ</t>
  </si>
  <si>
    <t>ตำแหน่ง</t>
  </si>
  <si>
    <t>ผู้ตรวจสอบ</t>
  </si>
  <si>
    <t>ธนาคารเพื่อการเกษตรและสหกรณ์การเกษตร</t>
  </si>
  <si>
    <t>เงินทุนสำรองเงินสะสม</t>
  </si>
  <si>
    <t>เงินโครงการเศรษฐกิจชุมชน</t>
  </si>
  <si>
    <t>รายการ</t>
  </si>
  <si>
    <t>เงินรายรับ</t>
  </si>
  <si>
    <t>ค่าตอบแทน</t>
  </si>
  <si>
    <t>ค่าใช้สอย</t>
  </si>
  <si>
    <t>เงินฝากธนาคาร  เลขที่บัญชี  821-2-59476-9</t>
  </si>
  <si>
    <t>ค่าวัสดุ</t>
  </si>
  <si>
    <t>จนถึงปีปัจุบัน</t>
  </si>
  <si>
    <t>เกิดขึ้นจริง</t>
  </si>
  <si>
    <t>รหัส</t>
  </si>
  <si>
    <t>บัญชี</t>
  </si>
  <si>
    <t>เดือนนี้</t>
  </si>
  <si>
    <t>รายรับ (หมายเหตุ 1)</t>
  </si>
  <si>
    <t>ค่าธรรมเนียม  ค่าปรับและใบอนุญาต</t>
  </si>
  <si>
    <t>จนถึงปัจจุบัน</t>
  </si>
  <si>
    <t>รายจ่าย</t>
  </si>
  <si>
    <t>ค่าจ้างประจำ</t>
  </si>
  <si>
    <t>รวมรายจ่าย</t>
  </si>
  <si>
    <t>สูงกว่า</t>
  </si>
  <si>
    <t>รายรับ               รายจ่าย</t>
  </si>
  <si>
    <t>ยอดยกไป (4)</t>
  </si>
  <si>
    <t>(ต่ำกว่า)</t>
  </si>
  <si>
    <t xml:space="preserve">ยอดยกมา </t>
  </si>
  <si>
    <t>เงินอุดหนุนเฉพาะกิจ</t>
  </si>
  <si>
    <t>เงินอุดหนุนทั่วไป (จากรัฐบาล)</t>
  </si>
  <si>
    <t>รายงาน รับ - จ่าย เงินสด</t>
  </si>
  <si>
    <t>ลูกหนี้เงินยืมงบประมาณ</t>
  </si>
  <si>
    <t>เงินรับฝาก (หมายเหตุ 2)</t>
  </si>
  <si>
    <t>ลูกหนี้เงินยืมสะสม</t>
  </si>
  <si>
    <t>รวมรายรับ</t>
  </si>
  <si>
    <t>เงินเดือนพนักงาน</t>
  </si>
  <si>
    <t>เงินสด</t>
  </si>
  <si>
    <t>รับเดือนนี้</t>
  </si>
  <si>
    <t>เงินค้ำประกันสัญญา</t>
  </si>
  <si>
    <t>จ่ายเดือนนี้</t>
  </si>
  <si>
    <t>หมายเหตุ  1    ประกอบงบทดลอง</t>
  </si>
  <si>
    <t>ยอดยกมา</t>
  </si>
  <si>
    <t>ยอดยกไป</t>
  </si>
  <si>
    <t>งบทดลอง</t>
  </si>
  <si>
    <t>นายกองค์การบริหารส่วนตำบลด่านจาก</t>
  </si>
  <si>
    <t>ส่วนราชการ</t>
  </si>
  <si>
    <t>เรื่อง</t>
  </si>
  <si>
    <t>เรียน</t>
  </si>
  <si>
    <t>จึงเรียนมาเพื่อโปรดทราบและพิจารณา</t>
  </si>
  <si>
    <t>เงินรับฝาก  (หมายเหตุ 1)</t>
  </si>
  <si>
    <t>รายจ่ายอื่น</t>
  </si>
  <si>
    <t>เงินรับฝาก</t>
  </si>
  <si>
    <t xml:space="preserve">รายจ่ายค้างจ่าย </t>
  </si>
  <si>
    <t>210400</t>
  </si>
  <si>
    <t>(นางรพีพรรณ  สุวัฒนะพันธ์)</t>
  </si>
  <si>
    <t>ปลัดองค์การบริหารส่วนตำบลสำโรง</t>
  </si>
  <si>
    <t>นายกองค์การบริหารส่วนตำบลสำโรง</t>
  </si>
  <si>
    <t>นักวิชาการเงินและบัญชี</t>
  </si>
  <si>
    <t>เลขที่บัญชี   821-2-52900-1</t>
  </si>
  <si>
    <t>อุดหนุนเฉพาะกิจ</t>
  </si>
  <si>
    <t>องค์การบริหารส่วนตำบลสำโรง</t>
  </si>
  <si>
    <t>เงินฝากธนาคาร  เลขที่บัญชี  821-2-52900-1</t>
  </si>
  <si>
    <t>เงินฝากธนาคาร  เลขที่บัญชี  304-603447-4</t>
  </si>
  <si>
    <t>เงินเดือนฝ่ายการเมือง</t>
  </si>
  <si>
    <t>522000</t>
  </si>
  <si>
    <t>531000</t>
  </si>
  <si>
    <t>532000</t>
  </si>
  <si>
    <t>320000</t>
  </si>
  <si>
    <t>เงินถ่ายโอบริการสาธารณะ</t>
  </si>
  <si>
    <t>ค่าปรับผู้กระทำผิดกฏจราจรทางบก</t>
  </si>
  <si>
    <t>บันทึกข้อความ</t>
  </si>
  <si>
    <t>ประกาศองค์การบริหารส่วนตำบลด่านจาก</t>
  </si>
  <si>
    <t>เรื่อง  รายงานแสดงผลการดำเนินการ  องค์การบริหารส่วนตำบลด่านจาก</t>
  </si>
  <si>
    <t>**************************</t>
  </si>
  <si>
    <t>ด้วยองค์การบริหารส่วนตำบลด่านจาก  ได้จัดทำรายงานแสดงผลการดำเนินการ องค์การบริหารส่วนตำบล</t>
  </si>
  <si>
    <t>กระทรวงมหาดไทย  ว่าด้วยการรับเงิน  การเบิกจ่ายเงิน  การฝากเงิน   การเก็บรักษาเงิน  และการตรวจเงินขององค์กร</t>
  </si>
  <si>
    <t>จึงเรียนมาให้ทราบโดยทั่วกัน</t>
  </si>
  <si>
    <t>(นายสุรศักดิ์   กังวานรัตนกุล)</t>
  </si>
  <si>
    <t xml:space="preserve">ปกครองส่วนท้องถิ่น    พ.ศ. 2547     หมวด  11 เบ็ดเตล็ด  ข้อ  105  ให้หัวหน้าส่วนการคลังจัดทำรายงานแสดงผลการ  </t>
  </si>
  <si>
    <t>ดำเนินงานตามที่กรมส่งเสริมการปกครองท้องถิ่นกำหนด      เพื่อนำเสนอผู้บริหารส่วนท้องถิ่น        และติดประกาศ</t>
  </si>
  <si>
    <t>การรายงานดังกล่าวโดยเปิดเผย    เพื่อประชาชนทราบ  ณ  สำนักงานองค์กรปกครองส่วนท้องถิ่นทราบทุกสามเดือน</t>
  </si>
  <si>
    <t>เบี้ยยังชีพผู้สูงอายุ</t>
  </si>
  <si>
    <t>เบี้ยยังชีพผู้พิการ</t>
  </si>
  <si>
    <t>ด่านจาก    ระยะเวลาตั้งแต่วันที่  1  มกราคม  2551  ถึงวันที่  31 มีนาคม   เสร็จเรียบร้อยแล้ว  โดยอ้างระเบียบ</t>
  </si>
  <si>
    <t>ประกาศ  ณ  วันที่ 3   เดือน มีนาคม   พ.ศ. 2551</t>
  </si>
  <si>
    <t>(นายประเทือง  ภักเกษม)</t>
  </si>
  <si>
    <t>อ้างถึงระเบียบกระทรวงมหาดไทย  ว่าด้วยการรับเงิน การเบิกจ่ายเงิน การฝากเงิน การเก็บรักษาเงิน</t>
  </si>
  <si>
    <t>บัดนี้ กองคลังได้จัดทำรายงานดังกล่าวแล้วและจะทำการจัดส่งอำเภอต่อไป</t>
  </si>
  <si>
    <t xml:space="preserve">กองคลัง  องค์การบริหารส่วนตำบลสำโรง  </t>
  </si>
  <si>
    <t>และการตรวจเงินขององค์กรปกครองส่วนท้องถิ่น พ.ศ.๒๕๔๗ หมวด ๑๐ การตรวจเงิน ข้อ ๙๙ ว่าด้วยให้หัวหน้าหน่วย</t>
  </si>
  <si>
    <t>งานคลังทำรายงานแสดงรายรับ-รายจ่ายและงบทดลองรายเดือน เสนอปลัดองค์กรปกครองส่วนท้องถิ่นเพื่อนำเสนอ</t>
  </si>
  <si>
    <t>ผู้บริหารท้องถิ่นเพื่อทราบในฐานะหัวหน้าผู้บังคับบัญชา  และส่งสำเนาให้นายอำเภอนั้น</t>
  </si>
  <si>
    <t xml:space="preserve">              (นายประเทือง  ภักเกษม)</t>
  </si>
  <si>
    <t xml:space="preserve">      (นายวชิระ  ปราณีตพลกรัง)</t>
  </si>
  <si>
    <t>(นายวชิระ  ปราณีตพลกรัง)</t>
  </si>
  <si>
    <t>ผู้อำนวยการกองช่าง  รักษาราชการ</t>
  </si>
  <si>
    <t>เงินประกันสังคม</t>
  </si>
  <si>
    <t>ค่าธรรมเนียมจดทะเบียนพาณิชย์</t>
  </si>
  <si>
    <t>เงินรับฝาก (หมายเหตุ 1)</t>
  </si>
  <si>
    <t>ภาษีมูลค่าเพิ่มตาม พรบ. แผน</t>
  </si>
  <si>
    <t>ภาษีโรงเรือนและที่ดิน</t>
  </si>
  <si>
    <t>เงินถ่ายโอนบริการสาธารณะ</t>
  </si>
  <si>
    <t>ดอกเบี้ยเงินฝากธนาคาร</t>
  </si>
  <si>
    <t>เงินมัดจำประกันซอง</t>
  </si>
  <si>
    <t>ค่าธรรมเนียมรถยนต์และล้อเลื่อน</t>
  </si>
  <si>
    <t>ภาษีป้าย</t>
  </si>
  <si>
    <t>หัก:  เช็คจ่ายที่ผู้รับยังไม่นำมาขึ้นเงินกับธนาคาร</t>
  </si>
  <si>
    <t>ผู้อำนวยการกองช่าง รักษาราชการแทน</t>
  </si>
  <si>
    <t xml:space="preserve">    (นางกานดาภร  คำภาพันธ์)</t>
  </si>
  <si>
    <t xml:space="preserve">          ลงชื่อ.................................................</t>
  </si>
  <si>
    <t xml:space="preserve">                 (นายประเทือง  ภักเกษม)</t>
  </si>
  <si>
    <t xml:space="preserve">            นายกองค์การบริหารส่วนตำบลสำโรง</t>
  </si>
  <si>
    <t xml:space="preserve">    ลงชื่อ....................................................</t>
  </si>
  <si>
    <t xml:space="preserve">         (นางรพีพรรณ  สุวัฒนะพันธ์)</t>
  </si>
  <si>
    <t xml:space="preserve">     ปลัดองค์การบริหารส่วนตำบลสำโรง</t>
  </si>
  <si>
    <t>ค่าอาหารเสริม(นม)</t>
  </si>
  <si>
    <t>ค่าปรับผิดสัญญา</t>
  </si>
  <si>
    <t xml:space="preserve">     ผู้อำนวยการกองคลัง</t>
  </si>
  <si>
    <r>
      <t>ที่</t>
    </r>
    <r>
      <rPr>
        <sz val="16"/>
        <rFont val="TH SarabunPSK"/>
        <family val="2"/>
      </rPr>
      <t xml:space="preserve"> นม.๙๕๓๐๒/ </t>
    </r>
  </si>
  <si>
    <t>310000</t>
  </si>
  <si>
    <t>110000</t>
  </si>
  <si>
    <t>210000</t>
  </si>
  <si>
    <t>220000</t>
  </si>
  <si>
    <t>220500</t>
  </si>
  <si>
    <t>220700</t>
  </si>
  <si>
    <t>340000</t>
  </si>
  <si>
    <t>ค่าใบอนุญาตประกอบการค้าสำหรับกิจการที่เป็นอันตรายต่อสุขภาพ</t>
  </si>
  <si>
    <t xml:space="preserve">          ปีงบประมาณ  2560</t>
  </si>
  <si>
    <t>ณ  วันที่ 31  ตุลาคม   2559</t>
  </si>
  <si>
    <t>รายจ่ายผัดส่งใบสำคัญ</t>
  </si>
  <si>
    <t>210200</t>
  </si>
  <si>
    <t>ณ  วันที่  31 ตุลาคม  2559</t>
  </si>
  <si>
    <t xml:space="preserve">เงินรอคืนจังหวัดโครงการสำโรงรวมใจ ลด ละเลิก ยาเสพติด </t>
  </si>
  <si>
    <t>เงินรอคืนจังหวัดเบี้ยยังชีพผู้สูงอายุ</t>
  </si>
  <si>
    <t>เงินรอคืนจังหวัดเบี้ยยังชีพคนพิการ</t>
  </si>
  <si>
    <t>เงินรอคืนจังหวัดเงินช่วยเหลือการศึกษาบุตร</t>
  </si>
  <si>
    <t>ณ  วันที่  31  ตุลาคม  2559</t>
  </si>
  <si>
    <t>โครงการปรับปรุงซ่อมแซมถนนภายในตำบลสำโรง</t>
  </si>
  <si>
    <t>โครงการก่อสร้างกำแพงกันดิน หมู่ที่ 8</t>
  </si>
  <si>
    <t>โครงการก่อสร้างซ่อมแซมถนน คสล.ภายในหมู่บ้านสำโรง</t>
  </si>
  <si>
    <t>โครงการก่อสร้างถนน คสล.หมู่ที่ 10</t>
  </si>
  <si>
    <t>โครงการปรับปรุงห้องประชุม อบต.สำโรง</t>
  </si>
  <si>
    <t>โครงการก่อสร้างโรงจอดรถยนต์ อบต.สำโรง</t>
  </si>
  <si>
    <t>โครงการต่อเติมศูนย์ป้องกันฯพร้อมที่จอดรถน้ำฯ</t>
  </si>
  <si>
    <t>โครงการซ่อมสร้างถนนหินคลุกหมู่ที่ 6</t>
  </si>
  <si>
    <t>โครงการถนน คสล.หมู่ที่ 7</t>
  </si>
  <si>
    <t>โครงการก่อสร้างประตูรั้ว(ชนิดบานเลื่อน ศพด)</t>
  </si>
  <si>
    <t>โครงการจัดหาเครื่องปรับอากาศห้องประชุม อบต.</t>
  </si>
  <si>
    <t>โครงการจัดหาผ้าม่านพร้อมอุปกรณ์ติดตั้งห้องประชุม</t>
  </si>
  <si>
    <t>โครงการจัดหาพัดลมระบายอากาศห้องประชุม</t>
  </si>
  <si>
    <t>โครงการก่อสร้างลาน</t>
  </si>
  <si>
    <t>เงินสวัสดิการออมสิน</t>
  </si>
  <si>
    <t>เงินสวัสดิการกรุงไทย</t>
  </si>
  <si>
    <t>เงินสวัสดิการ ธกส</t>
  </si>
  <si>
    <t>เงินสวัสดิการสหกรณ์ออมทรัพย์ฯ</t>
  </si>
  <si>
    <t>ค่าธรรมเนียมเกี่ยวกับใบอนุญาตการขายสุรา</t>
  </si>
  <si>
    <t>เงินอุดหนุนระบุวัตถุ</t>
  </si>
  <si>
    <t>ประสงค์/เฉพาะกิจ(บาท)</t>
  </si>
  <si>
    <t>ปีงบประมาณ 2560  ประจำเดือน  พฤศจิกายน  2559</t>
  </si>
  <si>
    <t>ลูกหนี้เงินสะสม</t>
  </si>
  <si>
    <t>เงินรับฝากภาษีหัก ณ ที่จ่าย</t>
  </si>
  <si>
    <t>เงินรับฝากประกันซอง</t>
  </si>
  <si>
    <t>เงินรับฝากประกันสังคม</t>
  </si>
  <si>
    <t>เงินรับฝากเศรษฐกิจชุมชน</t>
  </si>
  <si>
    <t>เงินรับฝากเงินมัดจำประกันสัญญา</t>
  </si>
  <si>
    <t>เงินรับฝากเงินประกันสัญญา</t>
  </si>
  <si>
    <t xml:space="preserve">เงินรับฝากประกันสังคม </t>
  </si>
  <si>
    <t>เงินรับฝากสวัสดิการ ธกส</t>
  </si>
  <si>
    <t>เงินรับฝากสวัสดิการกรุงไทย</t>
  </si>
  <si>
    <t>เงินรับฝากสวัสดิการออมสิน</t>
  </si>
  <si>
    <t>เงินรับฝากสวัสดิการสหกรณ์ฯ</t>
  </si>
  <si>
    <t>ณ  วันที่ 30  พฤศจิกายน   2559</t>
  </si>
  <si>
    <t>511000</t>
  </si>
  <si>
    <t>521000</t>
  </si>
  <si>
    <t>533000</t>
  </si>
  <si>
    <t>ค่าใบอนุญาตเกี่ยวกับการควบคุมอาคาร</t>
  </si>
  <si>
    <t>ภาษีมูลค่าเพิ่มตาม พรบ.กำหนดแผนฯ</t>
  </si>
  <si>
    <t>ภาษีมูลค่าเพิ่มตาม พรบ.จัดสรรรายได้ฯ</t>
  </si>
  <si>
    <t>ค่าธรรมเนียมการจดทะเบียนสิทธิ์และนิติกรรมที่ดิน</t>
  </si>
  <si>
    <t>เงินอุดหนุนทั่วไปสำหรับดำเนินการตามอำนาจหน้าที่และภารกิจถ่ายโอนฯ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</si>
  <si>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</si>
  <si>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</si>
  <si>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เงินรับฝากเงินรอคืนจังหวัด</t>
  </si>
  <si>
    <t>เงินรับฝากค่าปรับผู้กระทำผิดกฏจราจรทางบก</t>
  </si>
  <si>
    <t>เงินรับฝากค้ำประกันสัญญา</t>
  </si>
  <si>
    <t>เงินรับฝากโครงการเศรษฐกิจชุมชน</t>
  </si>
  <si>
    <t>เงินรับฝากถ่ายโอนบริการสาธารณะ</t>
  </si>
  <si>
    <t xml:space="preserve">                    (นายวชิระ  ปราณีตพลกรัง)</t>
  </si>
  <si>
    <t xml:space="preserve">              ผู้อำนวยการกองช่าง  รักษาราชการ</t>
  </si>
  <si>
    <t xml:space="preserve">                      ผู้อำนวยการกองคลัง</t>
  </si>
  <si>
    <t xml:space="preserve">                 (ลงชื่อ)…..............………………</t>
  </si>
  <si>
    <t xml:space="preserve"> (ลงชื่อ)…………....................………</t>
  </si>
  <si>
    <t xml:space="preserve">             (นายประเทือง  ภักเกษม)</t>
  </si>
  <si>
    <t xml:space="preserve">               นายกองค์การบริหารส่วนตำบลสำโรง</t>
  </si>
  <si>
    <t>415999</t>
  </si>
  <si>
    <t xml:space="preserve">                     ประจำปีงบประมาณ  2560</t>
  </si>
  <si>
    <t>รายรับจริงประกอบงบทดลองและรายงานรับ-จ่ายเงิน</t>
  </si>
  <si>
    <t xml:space="preserve">รหัสบัญชี </t>
  </si>
  <si>
    <t>รับจริง</t>
  </si>
  <si>
    <t>รายได้จัดเก็บเอง</t>
  </si>
  <si>
    <t>หมวดภาษีอากร</t>
  </si>
  <si>
    <t>41100000</t>
  </si>
  <si>
    <t>1.ภาษีโรงเรือนและที่ดิน</t>
  </si>
  <si>
    <t>41100001</t>
  </si>
  <si>
    <t>2.ภาษีบำรุงท้องที่</t>
  </si>
  <si>
    <t>41100002</t>
  </si>
  <si>
    <t>3.ภาษีป้าย</t>
  </si>
  <si>
    <t>41100003</t>
  </si>
  <si>
    <t>หมวดค่าธรรมเนียม ค่าปรับและใบอนุญาต</t>
  </si>
  <si>
    <t>41200000</t>
  </si>
  <si>
    <t>41210004</t>
  </si>
  <si>
    <t>41210029</t>
  </si>
  <si>
    <t>4.ค่าปรับการผิดสัญญา</t>
  </si>
  <si>
    <t>41220010</t>
  </si>
  <si>
    <t>5.ค่าใบอนุญาตประกอบการค้าสำหรับกิจการที่เป็นอันตรายต่อสุขภาพ</t>
  </si>
  <si>
    <t>41230003</t>
  </si>
  <si>
    <t>หมวดรายได้จากทรัพย์สิน</t>
  </si>
  <si>
    <t>41300000</t>
  </si>
  <si>
    <t>1.ดอกเบี้ยเงินฝาก</t>
  </si>
  <si>
    <t>41300003</t>
  </si>
  <si>
    <t>หมวดรายได้จากสาธารณูปโภคและการพาณิชย์</t>
  </si>
  <si>
    <t>41400000</t>
  </si>
  <si>
    <t>หมวดรายได้เบ็ดเตล็ด</t>
  </si>
  <si>
    <t>41500000</t>
  </si>
  <si>
    <t>1.ค่าขายแบบแปลน</t>
  </si>
  <si>
    <t>41500004</t>
  </si>
  <si>
    <t>2.รายได้เบ็ดเตล็ดอื่นๆ</t>
  </si>
  <si>
    <t>41599999</t>
  </si>
  <si>
    <t>รายได้ที่รัฐบาลเก็บแล้วจัดสรรให้องค์กรปกครองส่วนท้องถิ่น</t>
  </si>
  <si>
    <t>42000000</t>
  </si>
  <si>
    <t>หมวดภาษีจัดสรร</t>
  </si>
  <si>
    <t>42100000</t>
  </si>
  <si>
    <t>1.เงินภาษีและค่าธรรมเนียมรถยนต์และล้อเลื่อน</t>
  </si>
  <si>
    <t>42100001</t>
  </si>
  <si>
    <t>2.ภาษีมูลค่าเพิ่มตามพ.ร.บ.กำหนดแผนฯ</t>
  </si>
  <si>
    <t>42100002</t>
  </si>
  <si>
    <t>3.ภาษีมูลสค่าเพิ่ม 1 ใน 9</t>
  </si>
  <si>
    <t>42100004</t>
  </si>
  <si>
    <t>4.ภาษีธุรกิจเฉพาะ</t>
  </si>
  <si>
    <t>42100005</t>
  </si>
  <si>
    <t>5.ภาษีสุรา</t>
  </si>
  <si>
    <t>42100006</t>
  </si>
  <si>
    <t>6.ภาษีสรรพสามิต</t>
  </si>
  <si>
    <t>42100007</t>
  </si>
  <si>
    <t>7.ค่าภาคหลวงแร่</t>
  </si>
  <si>
    <t>42100012</t>
  </si>
  <si>
    <t>8.ค่าภาคหลวงปิโตเลี่ยม</t>
  </si>
  <si>
    <t>42100013</t>
  </si>
  <si>
    <t>9.ค่าธรรมเนียมจดทะเบียนสิทธิและนิติกรรมตามประมวลกฎหมายที่ดิน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</si>
  <si>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</si>
  <si>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</si>
  <si>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>43000000</t>
  </si>
  <si>
    <t>หมวดเงินอุดหนุนทั่วไป</t>
  </si>
  <si>
    <t>43100000</t>
  </si>
  <si>
    <t>1.เงินอุดหนุนทั่วไป สำหรับดำเนินการตามอำนาจหน้าที่และภารกิจถ่าย</t>
  </si>
  <si>
    <t>43100002</t>
  </si>
  <si>
    <t>โอนเลือกทำ</t>
  </si>
  <si>
    <t>รวมรายรับทั้งสิ้น</t>
  </si>
  <si>
    <t>องค์การบริหารส่วนตำบลสำโรง   อำเภอปักธงชัย  จังหวัดนครราชสีมา</t>
  </si>
  <si>
    <t xml:space="preserve">         ผู้อำนวยการกองช่าง</t>
  </si>
  <si>
    <t xml:space="preserve">       (นายวชิระ  ปราณีตพลกรัง)                            (นางรพีพรรณ  สุวัฒนะพันธ์)                         (นายประเทือง  ภักเกษม)</t>
  </si>
  <si>
    <t>1.ค่าธรรมเนียมเกี่ยวกับการควบคุมอาคาร</t>
  </si>
  <si>
    <t>2.ค่าธรรมเนียมจดทะเบียนพาณิชย์</t>
  </si>
  <si>
    <t>3.ค่าปรับผู้กระทำผิดกฏจราจรทางบก</t>
  </si>
  <si>
    <t>6. ค่าธรรมเนียมเกี่ยวกับใบอนุญาตการขายสุรา</t>
  </si>
  <si>
    <t xml:space="preserve">         ผู้อำนวยการกองคลัง</t>
  </si>
  <si>
    <t>41210007</t>
  </si>
  <si>
    <t>41220002</t>
  </si>
  <si>
    <t xml:space="preserve">       (นายวชิระ  ปราณีตพลกรัง)                        (นางรพีพรรณ  สุวัฒนะพันธ์)                           (นายประเทือง  ภักเกษม)</t>
  </si>
  <si>
    <t>ณ วันที่  30  พฤศจิกายน  2559</t>
  </si>
  <si>
    <t>10.ค่าธรรมเนียมน้ำบาดาล</t>
  </si>
  <si>
    <t>42100017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</si>
  <si>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</si>
  <si>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</si>
  <si>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</si>
  <si>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</si>
  <si>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</si>
  <si>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บัญชีเงินขาดบัญชี</t>
  </si>
  <si>
    <t>บัญชีรายจ่ายค้างจ่าย-หมายเหตุ 3</t>
  </si>
  <si>
    <t>ลูกหนี้เงินทุนโครงการเศรษฐกิจชุมชน</t>
  </si>
  <si>
    <t>ลูกหนี้เงินยืม</t>
  </si>
  <si>
    <t xml:space="preserve">ลูกหนี้เงินสะสม </t>
  </si>
  <si>
    <t>เจ้าหนี้เงินสะสม</t>
  </si>
  <si>
    <t>จ่ายเงินตามงบประมาณ</t>
  </si>
  <si>
    <t>จ่ายเงินสะสม</t>
  </si>
  <si>
    <t>บัญชีเงินเกินบัญชี</t>
  </si>
  <si>
    <t>รับสูงหรือ (ต่ำ) กว่าจริง</t>
  </si>
  <si>
    <t>รับ</t>
  </si>
  <si>
    <t>จ่าย</t>
  </si>
  <si>
    <t>เงินทุนโครงการเศรษฐกิจชุมชนฯ</t>
  </si>
  <si>
    <t>ส่วนลดภาษีบำรุงท้องที่ 6%</t>
  </si>
  <si>
    <t>เงินรับฝาก-เบี้ยยังชีพผู้สูงอายุเหลือจ่ายปี 59</t>
  </si>
  <si>
    <t>เงินรับฝาก-เบี้ยยังชีพผู้พิการเหลือจ่ายปี 59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</si>
  <si>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</si>
  <si>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</si>
  <si>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</si>
  <si>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งานบริหารทั่วไปเกี่ยวกับเคหะและชุมชน</t>
  </si>
  <si>
    <t xml:space="preserve">       (นางสายสมร   ธรรมสัตย์)                           (นางชุติกาญจน์   คงสุข)                                 (นายบุญเชบ    ทองคำ)</t>
  </si>
  <si>
    <t xml:space="preserve">          ผู้อำนวยการกองคลัง                            ปลัดองค์การบริหารส่วนตำบล                           นายกองค์การบริหารส่วนตำบลศรีสุข</t>
  </si>
  <si>
    <t>องค์การบริหารส่วนตำบลสำโรง  อำเภอปักธงชัย  จังหวัดนครราชสีมา</t>
  </si>
  <si>
    <t>ผู้อำนวยการกองช่าง รักษาราชการแทน             ปลัดองค์การบริหารส่วนตำบลสำโรง               นายกองค์การบริหารส่วนตำบลสำโรง</t>
  </si>
  <si>
    <t xml:space="preserve">  ผู้อำนวยการกองช่าง รักษาราชการ                   ปลัดองค์การบริหารส่วนตำบลสำโรง              นายกองค์การบริหารส่วนตำบลสำโรง</t>
  </si>
  <si>
    <t xml:space="preserve">รับเงินรับฝาก-หมายเหตุ </t>
  </si>
  <si>
    <t xml:space="preserve">จ่ายเงินรับฝาก- หมายเหตุ </t>
  </si>
  <si>
    <t xml:space="preserve">บัญชีรายจ่ายค้างจ่าย-หมายเหตุ </t>
  </si>
  <si>
    <t xml:space="preserve">          (นายวชิระ  ปราณีตพลกรัง)                             (นางรพีพรรณ  สุวัฒนะพันธ์)                       (นายประเทือง  ภักเกษม)</t>
  </si>
  <si>
    <t xml:space="preserve">    ผู้อำนวยการกองช่าง รักษาราชการแทน              ปลัดองค์การบริหารส่วนตำบลสำโรง            นายกองค์การบริหารส่วนตำบลสำโรง</t>
  </si>
  <si>
    <t>องค์การบริหารส่วนตำบลสำโรง  อำเภอปักธงชัย   จังหวัดนครราชสีมา</t>
  </si>
  <si>
    <t>รายละเอียดประกอบงบทดลองและรายงานรับ-จ่ายเงินสด ประจำเดือน  พฤศจิกายน  2559</t>
  </si>
  <si>
    <r>
      <t>เงินรับฝาก</t>
    </r>
    <r>
      <rPr>
        <b/>
        <sz val="14"/>
        <rFont val="TH SarabunPSK"/>
        <family val="2"/>
      </rPr>
      <t xml:space="preserve"> </t>
    </r>
  </si>
  <si>
    <t>ณ  วันที่  30  พฤศจิกายน  2559</t>
  </si>
  <si>
    <t>ณ  วันที่ 31  ธันวาคม   2559</t>
  </si>
  <si>
    <t>ลูกหนี้</t>
  </si>
  <si>
    <t>ค่าธรรมเนียมการจดทะเบียนพานิชย์</t>
  </si>
  <si>
    <t>ณ  วันที่  31  ธันวาคม  2559</t>
  </si>
  <si>
    <t>ณ วันที่  31  ธันวาคม  2559</t>
  </si>
  <si>
    <t>ปีงบประมาณ 2560  ประจำเดือน  ธันวาคม  2559</t>
  </si>
  <si>
    <t>เงินรับฝาก-เงินมัดจำประกันซอง</t>
  </si>
  <si>
    <t>เพียงวันที่  31  ธันวาคม  2559</t>
  </si>
  <si>
    <t>ณ  วันที่  31  มกราคม  2560</t>
  </si>
  <si>
    <t>ณ  วันที่  31 มกราคม  2560</t>
  </si>
  <si>
    <t>เบี้ยยังชีพคนชรา</t>
  </si>
  <si>
    <t>เบี้ยยังชีพคนพิการ</t>
  </si>
  <si>
    <t>เบี้ยยังชีพผู้ป่วยเอดส์</t>
  </si>
  <si>
    <t>เงินเดือนครู ศพด.</t>
  </si>
  <si>
    <t>ค่าอาหารเสริม(นม) ศพด</t>
  </si>
  <si>
    <t>ค่าอาหารกลางวัน ศพด</t>
  </si>
  <si>
    <t>ค่าอาหารเสริม(นม)รร</t>
  </si>
  <si>
    <t>ค่าอาหารกลางวัน รร</t>
  </si>
  <si>
    <t>ปีงบประมาณ 2560  ประจำเดือน มกราคม 2560</t>
  </si>
  <si>
    <t>ค่าจัดการเรียนการสอน ศพด</t>
  </si>
  <si>
    <t>ณ วันที่  31 มกราคม  2560</t>
  </si>
  <si>
    <t>อุดหนุนทั่วไประบุวัตถุประสงค์</t>
  </si>
  <si>
    <t>ณ  วันที่ 31  มกราคม  2560</t>
  </si>
  <si>
    <t>ครุภัณฑ์</t>
  </si>
  <si>
    <t>เงินรับฝากส่วนลดการจัดเก็บภาษี 6%</t>
  </si>
  <si>
    <t>ณ  วันที่  28  กุมภาพันธ์ 2560</t>
  </si>
  <si>
    <t>ค่าภาคหลวงแร่</t>
  </si>
  <si>
    <t>ณ  วันที่  28  กุมภาพันธ์  2560</t>
  </si>
  <si>
    <t>ปีงบประมาณ 2560  ประจำเดือน กุมภาพันธ์ 2560</t>
  </si>
  <si>
    <t>ณ วันที่  28  กุมภาพันธ์  2560</t>
  </si>
  <si>
    <t>ภาษีและค่าธรรมเนียมรถยนต์และล้อเลื่อน</t>
  </si>
  <si>
    <t>421002</t>
  </si>
  <si>
    <t>ณ  วันที่  31  มีนาคม  2560</t>
  </si>
  <si>
    <t>ณ  วันที่  31  มีนาคม 2560</t>
  </si>
  <si>
    <t>ปีงบประมาณ 2560  ประจำเดือน มีนาคม  2560</t>
  </si>
  <si>
    <t>ณ วันที่  31  มีนาคม  2560</t>
  </si>
  <si>
    <t xml:space="preserve">             (นางกานดาภร  คำภาพันธ์)</t>
  </si>
  <si>
    <t>หัก:  ดอกเบี้ยเงินฝากธนาคาร</t>
  </si>
  <si>
    <t>ณ  วันที่  30  เมษายน  2560</t>
  </si>
  <si>
    <t>เงินรับฝากเงินสนับสนุนโครงการกองทุนส่งเสริมการจัดสวัสดิการสังคม</t>
  </si>
  <si>
    <t xml:space="preserve">      (นางกานดาภร  คำภาพันธ์)</t>
  </si>
  <si>
    <t>นักวิชาการเงินและบัญชี รักษาราชการ</t>
  </si>
  <si>
    <t>ณ  วันที่  30  เมษายน 2560</t>
  </si>
  <si>
    <t>เงินสนับสนุนโครงการกองทุนส่งเสริมสวัสดิการสังคม</t>
  </si>
  <si>
    <t>ปีงบประมาณ 2560  ประจำเดือน เมษายน 2560</t>
  </si>
  <si>
    <t>เงินรับฝากเงินสนับสนุนโครงการกองทุนส่งเสริม</t>
  </si>
  <si>
    <t>การจัดสวัสดิการสังคม</t>
  </si>
  <si>
    <t xml:space="preserve">                    (นางกานดาภร   คำภาพันธ์)</t>
  </si>
  <si>
    <t xml:space="preserve">              นักวิชาการเงินและบัญชี  รักษาราชการ</t>
  </si>
  <si>
    <t>ณ วันที่  30  เมษายน  2560</t>
  </si>
  <si>
    <t xml:space="preserve">       (นางกานดาภร  คำภาพันธ์)                            (นางรพีพรรณ  สุวัฒนะพันธ์)                         (นายประเทือง  ภักเกษม)</t>
  </si>
  <si>
    <t xml:space="preserve"> นักวิชาการเงินและบัญชี รักษาราชการ                   ปลัดองค์การบริหารส่วนตำบลสำโรง              นายกองค์การบริหารส่วนตำบลสำโรง</t>
  </si>
  <si>
    <t>ยอดคงเหลือตามรายงานธนาคาร  ณ วันที่  30  เมษายน  2560</t>
  </si>
  <si>
    <t>28  เมษายน 2560</t>
  </si>
  <si>
    <t>21545510</t>
  </si>
  <si>
    <t>21545511</t>
  </si>
  <si>
    <t>21545512</t>
  </si>
  <si>
    <t xml:space="preserve">            (นางกานดาภร  คำภาพันธ์)</t>
  </si>
  <si>
    <t xml:space="preserve"> ตำแหน่ง นักวิชาการเงินและบัญชี รักษาราชการผู้อำนวยการกองคลัง</t>
  </si>
  <si>
    <t>ยอดคงเหลือตามบัญชี  ณ  วันที่ 30  เมษายน  2560</t>
  </si>
  <si>
    <t xml:space="preserve">    วันที่  30  เมษายน  2560</t>
  </si>
  <si>
    <t>เพียงวันที่  30  เมษายน 2560</t>
  </si>
  <si>
    <t xml:space="preserve">          (นางกานดาภร  คำภาพันธ์)                             (นางรพีพรรณ  สุวัฒนะพันธ์)                       (นายประเทือง  ภักเกษม)</t>
  </si>
  <si>
    <t xml:space="preserve">    นักวิชาการเงินและบัญชี รักษาราชการแทน              ปลัดองค์การบริหารส่วนตำบลสำโรง          นายกองค์การบริหารส่วนตำบลสำโรง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</si>
  <si>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</si>
  <si>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ณ  วันที่  31  พฤษภาคม  2560</t>
  </si>
  <si>
    <t>ณ  วันที่  31 พฤษภาคม  2560</t>
  </si>
  <si>
    <t>ณ  วันที่  31  พฤษภาคม 2560</t>
  </si>
  <si>
    <t>ปีงบประมาณ 2560  ประจำเดือน พฤษภาคม 2560</t>
  </si>
  <si>
    <t>ณ วันที่  31  พฤษภาคม  2560</t>
  </si>
  <si>
    <t>ยอดคงเหลือตามรายงานธนาคาร  ณ วันที่  31  พฤษภาคม  2560</t>
  </si>
  <si>
    <t>ยอดคงเหลือตามบัญชี  ณ  วันที่ 31  พฤษภาคม   2560</t>
  </si>
  <si>
    <t xml:space="preserve">    วันที่  31  พฤษภาคม   2560</t>
  </si>
  <si>
    <t xml:space="preserve">    วันที่  31  พฤษภาคม  2560</t>
  </si>
  <si>
    <t>31 พฤษภาคม 2560</t>
  </si>
  <si>
    <t>21545574</t>
  </si>
  <si>
    <t>19 พฤษภาคม 2560</t>
  </si>
  <si>
    <t>21545551</t>
  </si>
  <si>
    <t>22 พฤษภาคม 2560</t>
  </si>
  <si>
    <t>21545552</t>
  </si>
  <si>
    <t>25 พฤษภาคม 2560</t>
  </si>
  <si>
    <t>21545568</t>
  </si>
  <si>
    <t>8 พฤษภาคม 2560</t>
  </si>
  <si>
    <t>29 พฤษภาคม 2560</t>
  </si>
  <si>
    <t>21545570</t>
  </si>
  <si>
    <t>21545571</t>
  </si>
  <si>
    <t>21545573</t>
  </si>
  <si>
    <t>เพียงวันที่  31  พฤษภาคม  2560</t>
  </si>
  <si>
    <t>นักวิชาการเงินและบัญชีชำนาญการ</t>
  </si>
  <si>
    <t xml:space="preserve">          (นางกานดาภร  คำภาพันธ์)</t>
  </si>
  <si>
    <t xml:space="preserve">   นักวิชาการเงินและบัญชี รักษาราชการแทน</t>
  </si>
  <si>
    <t>ณ  วันที่  30  มิถุนายน 2560</t>
  </si>
  <si>
    <t>ณ  วันที่  30  มิถุนายน  2560</t>
  </si>
  <si>
    <t>ลูกหนี้เงินโครงการเศรษฐกิจชุมชน</t>
  </si>
  <si>
    <t>กลุ่มกองทุนปุ๋ยบ้านโคกขุนละคร หมู่ที่ 7 (6/2557)</t>
  </si>
  <si>
    <t>กลุ่มเกษตรกรบ้านโพทราย หมู่ที่ 1 (กลุ่มที่ 2) (2/2555)</t>
  </si>
  <si>
    <t>กลุ่มเกษตรกรบ้านโพทราย หมู่ที่ 1 (กลุ่มที่ 1) (1/2555)</t>
  </si>
  <si>
    <t>กลุ่มเกษตรกรบ้านมะค่า หมู่ที่ 4 (3/2555)</t>
  </si>
  <si>
    <t>กลุ่มชาวนาบ้านหนองตะแบก หมู่ที่ 5 (2/2560)</t>
  </si>
  <si>
    <t>กลุ่มมซื้อปุ๋ยเพื่อการเกษตรบ้านโกรกละลาย (6/2560)</t>
  </si>
  <si>
    <t>กลุ่มเลี้ยงสัตว์บ้านขุนละคร หมู่ที่ 2 (1/2560)</t>
  </si>
  <si>
    <t>กลุ่มเลี้ยงสัตว์(ไก่พื้นเมือง)บ้านสำโรง (5/2560)</t>
  </si>
  <si>
    <t>กลุ่มเลี้ยงสุกรบ้านตูม หมู่ที่ 8 (3/2560)</t>
  </si>
  <si>
    <t>กลุ่มหมุนเวียนประจำหมู่บ้าน (4/2560)</t>
  </si>
  <si>
    <t>กลุ่มเกษตรกรบ้านหนองประดู่ หมู่ที่ 3 (6/2559)</t>
  </si>
  <si>
    <t>ปีงบประมาณ 2560  ประจำเดือน มิถุนายน 2560</t>
  </si>
  <si>
    <t>วันที่  4   กรกฏาคม   ๒๕๖๐</t>
  </si>
  <si>
    <t>ขอจัดส่งรายงานการเงินเดือน  มิถุนายน   ๒๕๖๐</t>
  </si>
  <si>
    <t>ณ วันที่  30  มิถุนายน  2560</t>
  </si>
  <si>
    <t>เพียงวันที่  30  มิถุนายน  2560</t>
  </si>
  <si>
    <t>ณ  วันที่  31  กรกฏาคม  2560</t>
  </si>
  <si>
    <t>แผนงาน/งาน</t>
  </si>
  <si>
    <t>00411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</si>
  <si>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</si>
  <si>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</si>
  <si>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</si>
  <si>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</si>
  <si>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</si>
  <si>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</si>
  <si>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</si>
  <si>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</si>
  <si>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</si>
  <si>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00111</t>
  </si>
  <si>
    <t>00113</t>
  </si>
  <si>
    <t>00121</t>
  </si>
  <si>
    <t>00211</t>
  </si>
  <si>
    <t>00212</t>
  </si>
  <si>
    <t>00221</t>
  </si>
  <si>
    <t>00232</t>
  </si>
  <si>
    <t>00241</t>
  </si>
  <si>
    <t>00252</t>
  </si>
  <si>
    <t>00263</t>
  </si>
  <si>
    <t>00321</t>
  </si>
  <si>
    <t>รวมเดือนนี้</t>
  </si>
  <si>
    <t>รวมตั้งแต่ต้นปี</t>
  </si>
  <si>
    <t>กระดาษทำการกระทบยอดรายจ่ายตามงบประมาณ (จ่ายจากเงินรายรับ)</t>
  </si>
  <si>
    <t xml:space="preserve">ประจำเดือน  กรกฏาคม  2560 </t>
  </si>
  <si>
    <t>1100000</t>
  </si>
  <si>
    <t>5110300</t>
  </si>
  <si>
    <t>5110700</t>
  </si>
  <si>
    <t>5110800</t>
  </si>
  <si>
    <t>5110900</t>
  </si>
  <si>
    <t>5111000</t>
  </si>
  <si>
    <t>5111100</t>
  </si>
  <si>
    <t>5120100</t>
  </si>
  <si>
    <t>00251</t>
  </si>
  <si>
    <t>00410</t>
  </si>
  <si>
    <t>หมวด/ประเภท</t>
  </si>
  <si>
    <t>5210100</t>
  </si>
  <si>
    <t>5210200</t>
  </si>
  <si>
    <t>5210300</t>
  </si>
  <si>
    <t>5210400</t>
  </si>
  <si>
    <t>5210600</t>
  </si>
  <si>
    <t>5220100</t>
  </si>
  <si>
    <t>5220200</t>
  </si>
  <si>
    <t>5220300</t>
  </si>
  <si>
    <t>5220500</t>
  </si>
  <si>
    <t>5220700</t>
  </si>
  <si>
    <t>5220800</t>
  </si>
  <si>
    <t>5310100</t>
  </si>
  <si>
    <t>5310400</t>
  </si>
  <si>
    <t>5310500</t>
  </si>
  <si>
    <t>5320100</t>
  </si>
  <si>
    <t>5320300</t>
  </si>
  <si>
    <t>5320400</t>
  </si>
  <si>
    <t>330000</t>
  </si>
  <si>
    <t>5330100</t>
  </si>
  <si>
    <t>5330200</t>
  </si>
  <si>
    <t>5330300</t>
  </si>
  <si>
    <t>5330400</t>
  </si>
  <si>
    <t>5330600</t>
  </si>
  <si>
    <t>5330800</t>
  </si>
  <si>
    <t>5330900</t>
  </si>
  <si>
    <t>5331000</t>
  </si>
  <si>
    <t>5331100</t>
  </si>
  <si>
    <t>5331300</t>
  </si>
  <si>
    <t>5331400</t>
  </si>
  <si>
    <t>5340100</t>
  </si>
  <si>
    <t>5310300</t>
  </si>
  <si>
    <t>5340400</t>
  </si>
  <si>
    <t>5340500</t>
  </si>
  <si>
    <t>410000</t>
  </si>
  <si>
    <t>5410100</t>
  </si>
  <si>
    <t>5410600</t>
  </si>
  <si>
    <t>5410900</t>
  </si>
  <si>
    <t>5411600</t>
  </si>
  <si>
    <t>420000</t>
  </si>
  <si>
    <t>5421000</t>
  </si>
  <si>
    <t>610000</t>
  </si>
  <si>
    <t>5610200</t>
  </si>
  <si>
    <t>5610400</t>
  </si>
  <si>
    <t>รวมทั้งสิ้นเดือนนี้</t>
  </si>
  <si>
    <t>รวมทั้งสิ้นตั้งแต่ต้นปี</t>
  </si>
  <si>
    <t>ณ  วันที่  31  กรกฏาคม 2560</t>
  </si>
  <si>
    <t>กลุ่มทำข้าวแตนและขนมนางเล็ดบ้านมะค่า</t>
  </si>
  <si>
    <t>ปีงบประมาณ 2560  ประจำเดือน กรกฏาคม 2560</t>
  </si>
  <si>
    <t>ยอดคงเหลือตามรายงานธนาคาร  ณ วันที่  31  กรกฏาคม   2560</t>
  </si>
  <si>
    <t>ยอดคงเหลือตามบัญชี  ณ  วันที่ 31  กรกฏาคม   2560</t>
  </si>
  <si>
    <t xml:space="preserve">    วันที่  31  กรกฏาคม   2560</t>
  </si>
  <si>
    <t xml:space="preserve">    วันที่  31  กรกฏาคม  2560</t>
  </si>
  <si>
    <t>24 กรกฏาคม 2560</t>
  </si>
  <si>
    <t>25 กรกฏาคม 2560</t>
  </si>
  <si>
    <t>31 กรกฏาคม 2560</t>
  </si>
  <si>
    <t xml:space="preserve">         (นางกานดาภร  คำภาพันธ์)</t>
  </si>
  <si>
    <t xml:space="preserve">           (นางกานดาภร  คำภาพันธ์)</t>
  </si>
  <si>
    <t>เพียงวันที่  31  กรกฏาคม  2560</t>
  </si>
  <si>
    <t>ณ  วันที่  31  สิงหาคม  2560</t>
  </si>
  <si>
    <t>ณ  วันที่  31  สิงหาคม 2560</t>
  </si>
  <si>
    <t>กลุ่มเกษตรกรบ้านโพนทราย</t>
  </si>
  <si>
    <t>กลุ่มเลี้ยสุกร</t>
  </si>
  <si>
    <t>ปีงบประมาณ 2560  ประจำเดือน สิงหาคม 2560</t>
  </si>
  <si>
    <t>เงินรับฝากค่าใช้จ่ายในการเก็บภาษี  5%</t>
  </si>
  <si>
    <t>ณ วันที่  31  สิงหาคม  2560</t>
  </si>
  <si>
    <t xml:space="preserve">       (นางกานดาภร  คำภาพันธ์)                         (นางรพีพรรณ  สุวัฒนะพันธ์)                    (นายประเทือง  ภักเกษม)</t>
  </si>
  <si>
    <t xml:space="preserve"> นักวิชาการเงินและบัญชี รักษาราชการ             ปลัดองค์การบริหารส่วนตำบลสำโรง          นายกองค์การบริหารส่วนตำบลสำโรง</t>
  </si>
  <si>
    <t>ยอดคงเหลือตามรายงานธนาคาร  ณ วันที่  31  สิงหาคม   2560</t>
  </si>
  <si>
    <t xml:space="preserve">ประจำเดือน  สิงหาคม  2560 </t>
  </si>
  <si>
    <t>5330700</t>
  </si>
  <si>
    <t>18 สิงหาคม 2560</t>
  </si>
  <si>
    <t>29 สิงหาคม 2560</t>
  </si>
  <si>
    <t>21 สิงหาคม 2560</t>
  </si>
  <si>
    <t>21545732</t>
  </si>
  <si>
    <t>21545740</t>
  </si>
  <si>
    <t>21545739</t>
  </si>
  <si>
    <t>21545741</t>
  </si>
  <si>
    <t>21545718</t>
  </si>
  <si>
    <t>21545721</t>
  </si>
  <si>
    <t>21545722</t>
  </si>
  <si>
    <t>ยอดคงเหลือตามบัญชี  ณ  วันที่ 31  สิงหาคม   2560</t>
  </si>
  <si>
    <t xml:space="preserve">    วันที่  31  สิงหาคม   2560</t>
  </si>
  <si>
    <t xml:space="preserve">    วันที่  31  สิงหาคม  2560</t>
  </si>
  <si>
    <t>ขอจัดส่งรายงานการเงินเดือน  สิงหาคม   ๒๕๖๐</t>
  </si>
  <si>
    <t>วันที่      กันยายน   ๒๕๖๐</t>
  </si>
  <si>
    <t xml:space="preserve">   </t>
  </si>
  <si>
    <t>ณ  วันที่  30  กันยายน  2560</t>
  </si>
  <si>
    <t>เงินอุดหนุนระบุวัตถุประสงค์/เฉพาะกิจจากการส่งเสริมการปกครองท้องถิ่น</t>
  </si>
  <si>
    <t>51100000</t>
  </si>
  <si>
    <t>52100000</t>
  </si>
  <si>
    <t>52200000</t>
  </si>
  <si>
    <t>53100000</t>
  </si>
  <si>
    <t>53300000</t>
  </si>
  <si>
    <t>53200000</t>
  </si>
  <si>
    <t>ณ  วันที่  30  กันยายน 2560</t>
  </si>
  <si>
    <t>อุดหนุนเฉพาะกิจ-ก่อสร้างถนนดินลงหินคลุก หมู่ที่ 5</t>
  </si>
  <si>
    <t>อุดหนุนเฉพาะกิจ-ก่อสร้างถนนหินคลุก หมู่ที่ 7</t>
  </si>
  <si>
    <t>อุดหนุนเฉพาะกิจ-ก่อสร้างถนนหินคลุก หมู่ที่ 3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</si>
</sst>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0.0"/>
    <numFmt numFmtId="205" formatCode="#,##0.00_ ;\-#,##0.00\ "/>
    <numFmt numFmtId="206" formatCode="#,##0.00;[Red]#,##0.00"/>
    <numFmt numFmtId="207" formatCode="#,##0;[Red]#,##0"/>
    <numFmt numFmtId="208" formatCode="_-* #,##0.000_-;\-* #,##0.000_-;_-* &quot;-&quot;???_-;_-@_-"/>
    <numFmt numFmtId="209" formatCode="\ \2"/>
    <numFmt numFmtId="210" formatCode="[$-41E]d\ mmmm\ yyyy"/>
    <numFmt numFmtId="211" formatCode="[$-D070000]d/m/yy;@"/>
    <numFmt numFmtId="212" formatCode="\5\5\5"/>
    <numFmt numFmtId="213" formatCode="_-* #,##0.0_-;\-* #,##0.0_-;_-* &quot;-&quot;??_-;_-@_-"/>
    <numFmt numFmtId="214" formatCode="_-* #,##0_-;\-* #,##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mmm\-yyyy"/>
  </numFmts>
  <fonts count="57">
    <font>
      <sz val="14"/>
      <name val="Cordia New"/>
      <family val="0"/>
    </font>
    <font>
      <sz val="16"/>
      <name val="Cordia New"/>
      <family val="2"/>
    </font>
    <font>
      <sz val="16"/>
      <name val="Angsana New"/>
      <family val="1"/>
    </font>
    <font>
      <sz val="14"/>
      <name val="AngsanaUPC"/>
      <family val="1"/>
    </font>
    <font>
      <sz val="16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b/>
      <u val="single"/>
      <sz val="14"/>
      <name val="TH SarabunPSK"/>
      <family val="2"/>
    </font>
    <font>
      <b/>
      <u val="single"/>
      <sz val="15"/>
      <name val="TH SarabunPSK"/>
      <family val="2"/>
    </font>
    <font>
      <sz val="16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8" fillId="0" borderId="11" xfId="33" applyFont="1" applyBorder="1" applyAlignment="1">
      <alignment horizontal="center"/>
    </xf>
    <xf numFmtId="0" fontId="8" fillId="0" borderId="12" xfId="0" applyFont="1" applyBorder="1" applyAlignment="1">
      <alignment/>
    </xf>
    <xf numFmtId="43" fontId="8" fillId="0" borderId="12" xfId="33" applyFont="1" applyBorder="1" applyAlignment="1">
      <alignment horizontal="center"/>
    </xf>
    <xf numFmtId="43" fontId="9" fillId="0" borderId="13" xfId="33" applyFont="1" applyBorder="1" applyAlignment="1">
      <alignment horizontal="center"/>
    </xf>
    <xf numFmtId="43" fontId="8" fillId="0" borderId="13" xfId="33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5" fillId="0" borderId="16" xfId="0" applyFont="1" applyBorder="1" applyAlignment="1">
      <alignment/>
    </xf>
    <xf numFmtId="43" fontId="14" fillId="0" borderId="14" xfId="33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4" xfId="0" applyFont="1" applyBorder="1" applyAlignment="1">
      <alignment/>
    </xf>
    <xf numFmtId="43" fontId="15" fillId="0" borderId="16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43" fontId="15" fillId="0" borderId="16" xfId="33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6" xfId="0" applyFont="1" applyBorder="1" applyAlignment="1" quotePrefix="1">
      <alignment horizontal="center"/>
    </xf>
    <xf numFmtId="43" fontId="15" fillId="0" borderId="16" xfId="33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43" fontId="14" fillId="0" borderId="23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0" fontId="15" fillId="0" borderId="21" xfId="0" applyFont="1" applyBorder="1" applyAlignment="1">
      <alignment horizontal="left"/>
    </xf>
    <xf numFmtId="0" fontId="16" fillId="0" borderId="0" xfId="0" applyFont="1" applyBorder="1" applyAlignment="1">
      <alignment/>
    </xf>
    <xf numFmtId="43" fontId="15" fillId="0" borderId="16" xfId="33" applyFont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49" fontId="15" fillId="0" borderId="16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2" fillId="0" borderId="0" xfId="0" applyNumberFormat="1" applyFont="1" applyAlignment="1">
      <alignment/>
    </xf>
    <xf numFmtId="4" fontId="15" fillId="0" borderId="25" xfId="0" applyNumberFormat="1" applyFont="1" applyBorder="1" applyAlignment="1">
      <alignment/>
    </xf>
    <xf numFmtId="0" fontId="15" fillId="0" borderId="26" xfId="0" applyFont="1" applyBorder="1" applyAlignment="1">
      <alignment/>
    </xf>
    <xf numFmtId="43" fontId="15" fillId="0" borderId="25" xfId="0" applyNumberFormat="1" applyFont="1" applyBorder="1" applyAlignment="1">
      <alignment/>
    </xf>
    <xf numFmtId="4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9" xfId="0" applyFont="1" applyBorder="1" applyAlignment="1">
      <alignment/>
    </xf>
    <xf numFmtId="0" fontId="12" fillId="0" borderId="12" xfId="0" applyFont="1" applyBorder="1" applyAlignment="1">
      <alignment/>
    </xf>
    <xf numFmtId="43" fontId="15" fillId="0" borderId="12" xfId="33" applyFont="1" applyBorder="1" applyAlignment="1">
      <alignment/>
    </xf>
    <xf numFmtId="0" fontId="15" fillId="0" borderId="29" xfId="0" applyFont="1" applyBorder="1" applyAlignment="1" quotePrefix="1">
      <alignment horizontal="center"/>
    </xf>
    <xf numFmtId="43" fontId="15" fillId="0" borderId="12" xfId="33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43" fontId="15" fillId="0" borderId="29" xfId="33" applyFont="1" applyBorder="1" applyAlignment="1">
      <alignment/>
    </xf>
    <xf numFmtId="43" fontId="14" fillId="0" borderId="33" xfId="33" applyFont="1" applyBorder="1" applyAlignment="1">
      <alignment/>
    </xf>
    <xf numFmtId="43" fontId="15" fillId="0" borderId="13" xfId="33" applyFont="1" applyBorder="1" applyAlignment="1">
      <alignment/>
    </xf>
    <xf numFmtId="43" fontId="14" fillId="0" borderId="29" xfId="33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0" xfId="0" applyFont="1" applyBorder="1" applyAlignment="1">
      <alignment horizontal="left"/>
    </xf>
    <xf numFmtId="43" fontId="15" fillId="0" borderId="29" xfId="0" applyNumberFormat="1" applyFont="1" applyBorder="1" applyAlignment="1">
      <alignment/>
    </xf>
    <xf numFmtId="49" fontId="15" fillId="0" borderId="29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5" fillId="0" borderId="0" xfId="0" applyFont="1" applyBorder="1" applyAlignment="1" quotePrefix="1">
      <alignment horizontal="center"/>
    </xf>
    <xf numFmtId="43" fontId="15" fillId="0" borderId="11" xfId="33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13" xfId="33" applyFont="1" applyBorder="1" applyAlignment="1">
      <alignment/>
    </xf>
    <xf numFmtId="43" fontId="15" fillId="0" borderId="12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4" fillId="0" borderId="31" xfId="33" applyFont="1" applyBorder="1" applyAlignment="1">
      <alignment/>
    </xf>
    <xf numFmtId="4" fontId="17" fillId="0" borderId="0" xfId="0" applyNumberFormat="1" applyFont="1" applyAlignment="1">
      <alignment/>
    </xf>
    <xf numFmtId="0" fontId="15" fillId="0" borderId="0" xfId="0" applyFont="1" applyAlignment="1">
      <alignment horizontal="center" vertical="top"/>
    </xf>
    <xf numFmtId="0" fontId="12" fillId="0" borderId="3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34" xfId="0" applyFont="1" applyBorder="1" applyAlignment="1">
      <alignment/>
    </xf>
    <xf numFmtId="43" fontId="15" fillId="0" borderId="35" xfId="33" applyFont="1" applyBorder="1" applyAlignment="1">
      <alignment horizontal="center" vertical="center"/>
    </xf>
    <xf numFmtId="43" fontId="15" fillId="0" borderId="12" xfId="33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36" xfId="0" applyFont="1" applyBorder="1" applyAlignment="1">
      <alignment/>
    </xf>
    <xf numFmtId="15" fontId="15" fillId="0" borderId="3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2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37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29" xfId="0" applyFont="1" applyBorder="1" applyAlignment="1">
      <alignment vertical="center"/>
    </xf>
    <xf numFmtId="0" fontId="12" fillId="0" borderId="38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29" xfId="0" applyFont="1" applyBorder="1" applyAlignment="1">
      <alignment/>
    </xf>
    <xf numFmtId="43" fontId="17" fillId="0" borderId="29" xfId="33" applyFont="1" applyBorder="1" applyAlignment="1">
      <alignment/>
    </xf>
    <xf numFmtId="0" fontId="19" fillId="0" borderId="0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15" fontId="12" fillId="0" borderId="0" xfId="0" applyNumberFormat="1" applyFont="1" applyBorder="1" applyAlignment="1">
      <alignment horizontal="center"/>
    </xf>
    <xf numFmtId="43" fontId="12" fillId="0" borderId="0" xfId="33" applyFont="1" applyBorder="1" applyAlignment="1">
      <alignment/>
    </xf>
    <xf numFmtId="43" fontId="12" fillId="0" borderId="29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43" fontId="12" fillId="0" borderId="0" xfId="33" applyFont="1" applyAlignment="1">
      <alignment/>
    </xf>
    <xf numFmtId="4" fontId="12" fillId="0" borderId="29" xfId="0" applyNumberFormat="1" applyFont="1" applyBorder="1" applyAlignment="1">
      <alignment/>
    </xf>
    <xf numFmtId="43" fontId="12" fillId="0" borderId="0" xfId="33" applyFont="1" applyBorder="1" applyAlignment="1">
      <alignment horizontal="right"/>
    </xf>
    <xf numFmtId="43" fontId="12" fillId="0" borderId="39" xfId="33" applyFont="1" applyBorder="1" applyAlignment="1">
      <alignment/>
    </xf>
    <xf numFmtId="43" fontId="17" fillId="0" borderId="29" xfId="0" applyNumberFormat="1" applyFont="1" applyBorder="1" applyAlignment="1">
      <alignment/>
    </xf>
    <xf numFmtId="0" fontId="17" fillId="0" borderId="34" xfId="0" applyFont="1" applyBorder="1" applyAlignment="1">
      <alignment/>
    </xf>
    <xf numFmtId="4" fontId="12" fillId="0" borderId="39" xfId="0" applyNumberFormat="1" applyFont="1" applyBorder="1" applyAlignment="1">
      <alignment/>
    </xf>
    <xf numFmtId="43" fontId="17" fillId="0" borderId="3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3" fontId="8" fillId="0" borderId="12" xfId="33" applyFont="1" applyBorder="1" applyAlignment="1">
      <alignment/>
    </xf>
    <xf numFmtId="43" fontId="8" fillId="0" borderId="11" xfId="33" applyFont="1" applyBorder="1" applyAlignment="1">
      <alignment/>
    </xf>
    <xf numFmtId="0" fontId="15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15" fillId="0" borderId="34" xfId="33" applyFont="1" applyBorder="1" applyAlignment="1">
      <alignment vertical="center"/>
    </xf>
    <xf numFmtId="43" fontId="15" fillId="0" borderId="12" xfId="0" applyNumberFormat="1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43" fontId="15" fillId="0" borderId="12" xfId="33" applyFont="1" applyBorder="1" applyAlignment="1" quotePrefix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33" applyNumberFormat="1" applyFont="1" applyBorder="1" applyAlignment="1">
      <alignment horizontal="center" vertical="center"/>
    </xf>
    <xf numFmtId="43" fontId="15" fillId="0" borderId="12" xfId="0" applyNumberFormat="1" applyFont="1" applyBorder="1" applyAlignment="1">
      <alignment horizontal="right" vertical="center"/>
    </xf>
    <xf numFmtId="43" fontId="15" fillId="0" borderId="34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43" fontId="14" fillId="0" borderId="13" xfId="33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3" fontId="9" fillId="0" borderId="0" xfId="33" applyFont="1" applyBorder="1" applyAlignment="1">
      <alignment/>
    </xf>
    <xf numFmtId="43" fontId="9" fillId="0" borderId="10" xfId="33" applyFont="1" applyBorder="1" applyAlignment="1">
      <alignment horizontal="center"/>
    </xf>
    <xf numFmtId="43" fontId="9" fillId="0" borderId="11" xfId="33" applyFont="1" applyBorder="1" applyAlignment="1">
      <alignment horizontal="center"/>
    </xf>
    <xf numFmtId="43" fontId="8" fillId="0" borderId="27" xfId="33" applyFont="1" applyBorder="1" applyAlignment="1">
      <alignment horizontal="center"/>
    </xf>
    <xf numFmtId="43" fontId="8" fillId="0" borderId="27" xfId="0" applyNumberFormat="1" applyFont="1" applyBorder="1" applyAlignment="1">
      <alignment horizontal="center"/>
    </xf>
    <xf numFmtId="43" fontId="8" fillId="0" borderId="0" xfId="33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8" fillId="0" borderId="0" xfId="0" applyNumberFormat="1" applyFont="1" applyAlignment="1">
      <alignment/>
    </xf>
    <xf numFmtId="43" fontId="8" fillId="0" borderId="0" xfId="33" applyFont="1" applyAlignment="1">
      <alignment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3" fontId="8" fillId="0" borderId="31" xfId="33" applyFont="1" applyBorder="1" applyAlignment="1">
      <alignment horizontal="center"/>
    </xf>
    <xf numFmtId="43" fontId="9" fillId="0" borderId="43" xfId="33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33" applyFont="1" applyBorder="1" applyAlignment="1">
      <alignment/>
    </xf>
    <xf numFmtId="0" fontId="8" fillId="0" borderId="28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43" fontId="8" fillId="0" borderId="45" xfId="33" applyFont="1" applyBorder="1" applyAlignment="1">
      <alignment/>
    </xf>
    <xf numFmtId="43" fontId="8" fillId="0" borderId="13" xfId="0" applyNumberFormat="1" applyFont="1" applyBorder="1" applyAlignment="1">
      <alignment/>
    </xf>
    <xf numFmtId="43" fontId="8" fillId="0" borderId="13" xfId="3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43" fontId="9" fillId="0" borderId="12" xfId="33" applyFont="1" applyBorder="1" applyAlignment="1">
      <alignment/>
    </xf>
    <xf numFmtId="0" fontId="14" fillId="0" borderId="0" xfId="0" applyFont="1" applyAlignment="1">
      <alignment horizontal="center"/>
    </xf>
    <xf numFmtId="43" fontId="17" fillId="0" borderId="0" xfId="33" applyFont="1" applyAlignment="1">
      <alignment/>
    </xf>
    <xf numFmtId="0" fontId="8" fillId="0" borderId="10" xfId="0" applyFont="1" applyBorder="1" applyAlignment="1">
      <alignment horizontal="center"/>
    </xf>
    <xf numFmtId="43" fontId="8" fillId="0" borderId="29" xfId="33" applyFont="1" applyBorder="1" applyAlignment="1">
      <alignment horizontal="center"/>
    </xf>
    <xf numFmtId="0" fontId="8" fillId="0" borderId="0" xfId="0" applyFont="1" applyAlignment="1">
      <alignment horizontal="left"/>
    </xf>
    <xf numFmtId="43" fontId="14" fillId="0" borderId="16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4" fontId="15" fillId="0" borderId="0" xfId="0" applyNumberFormat="1" applyFont="1" applyAlignment="1">
      <alignment/>
    </xf>
    <xf numFmtId="0" fontId="17" fillId="0" borderId="31" xfId="0" applyFont="1" applyBorder="1" applyAlignment="1">
      <alignment horizontal="center"/>
    </xf>
    <xf numFmtId="43" fontId="14" fillId="0" borderId="0" xfId="33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43" fontId="15" fillId="0" borderId="0" xfId="33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43" fontId="15" fillId="0" borderId="31" xfId="33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3" fontId="9" fillId="0" borderId="11" xfId="33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12" xfId="33" applyFont="1" applyBorder="1" applyAlignment="1">
      <alignment vertical="center"/>
    </xf>
    <xf numFmtId="43" fontId="9" fillId="0" borderId="12" xfId="33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9" fillId="0" borderId="10" xfId="33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left"/>
    </xf>
    <xf numFmtId="0" fontId="15" fillId="0" borderId="49" xfId="0" applyFont="1" applyBorder="1" applyAlignment="1">
      <alignment horizontal="center" vertical="center"/>
    </xf>
    <xf numFmtId="43" fontId="15" fillId="0" borderId="11" xfId="0" applyNumberFormat="1" applyFont="1" applyBorder="1" applyAlignment="1">
      <alignment vertical="center"/>
    </xf>
    <xf numFmtId="4" fontId="15" fillId="0" borderId="31" xfId="0" applyNumberFormat="1" applyFont="1" applyBorder="1" applyAlignment="1">
      <alignment vertical="center"/>
    </xf>
    <xf numFmtId="43" fontId="15" fillId="0" borderId="29" xfId="33" applyFont="1" applyBorder="1" applyAlignment="1">
      <alignment horizontal="center" vertical="center"/>
    </xf>
    <xf numFmtId="43" fontId="15" fillId="0" borderId="29" xfId="33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3" fontId="8" fillId="0" borderId="12" xfId="33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3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3" fontId="12" fillId="0" borderId="10" xfId="33" applyFont="1" applyBorder="1" applyAlignment="1">
      <alignment/>
    </xf>
    <xf numFmtId="43" fontId="12" fillId="0" borderId="10" xfId="0" applyNumberFormat="1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43" fontId="17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3" fontId="12" fillId="0" borderId="10" xfId="33" applyFont="1" applyBorder="1" applyAlignment="1">
      <alignment vertical="center"/>
    </xf>
    <xf numFmtId="43" fontId="17" fillId="0" borderId="0" xfId="33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3" fontId="17" fillId="0" borderId="0" xfId="0" applyNumberFormat="1" applyFont="1" applyBorder="1" applyAlignment="1">
      <alignment vertical="center"/>
    </xf>
    <xf numFmtId="43" fontId="12" fillId="0" borderId="0" xfId="33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43" fontId="9" fillId="0" borderId="0" xfId="33" applyFont="1" applyBorder="1" applyAlignment="1">
      <alignment vertical="center"/>
    </xf>
    <xf numFmtId="43" fontId="15" fillId="0" borderId="0" xfId="33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3" fontId="15" fillId="0" borderId="29" xfId="33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43" fontId="9" fillId="0" borderId="0" xfId="33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right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49" fontId="12" fillId="0" borderId="53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/>
    </xf>
    <xf numFmtId="4" fontId="12" fillId="0" borderId="54" xfId="0" applyNumberFormat="1" applyFont="1" applyBorder="1" applyAlignment="1">
      <alignment/>
    </xf>
    <xf numFmtId="4" fontId="12" fillId="0" borderId="55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/>
    </xf>
    <xf numFmtId="4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 horizontal="right"/>
    </xf>
    <xf numFmtId="43" fontId="12" fillId="0" borderId="11" xfId="33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right"/>
    </xf>
    <xf numFmtId="43" fontId="12" fillId="0" borderId="13" xfId="33" applyFont="1" applyBorder="1" applyAlignment="1">
      <alignment/>
    </xf>
    <xf numFmtId="49" fontId="12" fillId="0" borderId="11" xfId="0" applyNumberFormat="1" applyFont="1" applyFill="1" applyBorder="1" applyAlignment="1">
      <alignment horizontal="right"/>
    </xf>
    <xf numFmtId="43" fontId="12" fillId="0" borderId="11" xfId="33" applyFont="1" applyBorder="1" applyAlignment="1">
      <alignment/>
    </xf>
    <xf numFmtId="43" fontId="12" fillId="0" borderId="10" xfId="33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9" fontId="12" fillId="0" borderId="53" xfId="0" applyNumberFormat="1" applyFont="1" applyBorder="1" applyAlignment="1">
      <alignment/>
    </xf>
    <xf numFmtId="43" fontId="22" fillId="0" borderId="13" xfId="33" applyFont="1" applyBorder="1" applyAlignment="1">
      <alignment/>
    </xf>
    <xf numFmtId="4" fontId="15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43" fontId="9" fillId="0" borderId="10" xfId="33" applyFont="1" applyBorder="1" applyAlignment="1">
      <alignment horizontal="center" vertical="center"/>
    </xf>
    <xf numFmtId="43" fontId="8" fillId="0" borderId="12" xfId="33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3" fontId="8" fillId="0" borderId="12" xfId="33" applyFont="1" applyBorder="1" applyAlignment="1">
      <alignment horizontal="right" vertical="center"/>
    </xf>
    <xf numFmtId="43" fontId="9" fillId="0" borderId="0" xfId="33" applyFont="1" applyBorder="1" applyAlignment="1">
      <alignment/>
    </xf>
    <xf numFmtId="43" fontId="8" fillId="0" borderId="31" xfId="33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4" fontId="12" fillId="0" borderId="53" xfId="0" applyNumberFormat="1" applyFont="1" applyBorder="1" applyAlignment="1">
      <alignment horizontal="right"/>
    </xf>
    <xf numFmtId="4" fontId="12" fillId="0" borderId="58" xfId="0" applyNumberFormat="1" applyFont="1" applyBorder="1" applyAlignment="1">
      <alignment horizontal="right"/>
    </xf>
    <xf numFmtId="4" fontId="12" fillId="0" borderId="57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63" xfId="0" applyNumberFormat="1" applyFont="1" applyBorder="1" applyAlignment="1">
      <alignment horizontal="center" vertical="center"/>
    </xf>
    <xf numFmtId="2" fontId="14" fillId="0" borderId="62" xfId="0" applyNumberFormat="1" applyFont="1" applyBorder="1" applyAlignment="1">
      <alignment horizontal="center" vertical="center"/>
    </xf>
    <xf numFmtId="2" fontId="14" fillId="0" borderId="6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209550</xdr:rowOff>
    </xdr:from>
    <xdr:to>
      <xdr:col>1</xdr:col>
      <xdr:colOff>114300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19050</xdr:colOff>
      <xdr:row>37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1634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19050</xdr:colOff>
      <xdr:row>37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1634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0</xdr:rowOff>
    </xdr:from>
    <xdr:to>
      <xdr:col>1</xdr:col>
      <xdr:colOff>28575</xdr:colOff>
      <xdr:row>31</xdr:row>
      <xdr:rowOff>457200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96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133350</xdr:rowOff>
    </xdr:from>
    <xdr:to>
      <xdr:col>5</xdr:col>
      <xdr:colOff>352425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333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28</xdr:row>
      <xdr:rowOff>0</xdr:rowOff>
    </xdr:from>
    <xdr:to>
      <xdr:col>6</xdr:col>
      <xdr:colOff>95250</xdr:colOff>
      <xdr:row>28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8677275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28</xdr:row>
      <xdr:rowOff>0</xdr:rowOff>
    </xdr:from>
    <xdr:to>
      <xdr:col>6</xdr:col>
      <xdr:colOff>85725</xdr:colOff>
      <xdr:row>28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7727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28</xdr:row>
      <xdr:rowOff>0</xdr:rowOff>
    </xdr:from>
    <xdr:to>
      <xdr:col>6</xdr:col>
      <xdr:colOff>85725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7727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37</xdr:row>
      <xdr:rowOff>114300</xdr:rowOff>
    </xdr:from>
    <xdr:to>
      <xdr:col>5</xdr:col>
      <xdr:colOff>571500</xdr:colOff>
      <xdr:row>41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649075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0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10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10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10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10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Line 10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10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Line 10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Line 10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Line 10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Line 10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Line 10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Line 10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" name="Line 10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Line 10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" name="Line 10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" name="Line 10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" name="Line 10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Line 10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" name="Line 10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Line 10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Line 10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Line 10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Line 10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10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Line 10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Line 10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Line 10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Line 10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Line 10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Line 10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Line 10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Line 10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Line 10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Line 10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Line 10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Line 10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Line 10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Line 10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Line 10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Line 10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Line 10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10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Line 10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Line 10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" name="Line 10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" name="Line 10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" name="Line 10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10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10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" name="Line 10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" name="Line 10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Line 10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Line 10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" name="Line 10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" name="Line 10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Line 10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" name="Line 10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" name="Line 10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" name="Line 10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Line 10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Line 10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" name="Line 10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" name="Line 10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" name="Line 10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" name="Line 10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" name="Line 10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" name="Line 10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" name="Line 10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" name="Line 10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" name="Line 10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" name="Line 10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" name="Line 10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Line 10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10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" name="Line 10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" name="Line 10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Line 11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Line 11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" name="Line 11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" name="Line 11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" name="Line 11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" name="Line 11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" name="Line 11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Line 11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Line 11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" name="Line 11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" name="Line 11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" name="Line 11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" name="Line 11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1" name="Line 11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" name="Line 11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Line 11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Line 11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" name="Line 11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" name="Line 11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" name="Line 11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" name="Line 11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9" name="Line 11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0" name="Line 11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1" name="Line 11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2" name="Line 11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3" name="Line 11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4" name="Line 11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5" name="Line 11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6" name="Line 11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7" name="Line 11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8" name="Line 11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9" name="Line 11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0" name="Line 11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1" name="Line 11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2" name="Line 11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3" name="Line 11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4" name="Line 11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5" name="Line 11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Line 11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Line 11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8" name="Line 11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9" name="Line 11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0" name="Line 11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1" name="Line 11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2" name="Line 11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3" name="Line 11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4" name="Line 11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5" name="Line 11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6" name="Line 11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7" name="Line 11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8" name="Line 11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9" name="Line 11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0" name="Line 11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1" name="Line 11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2" name="Line 11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3" name="Line 11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4" name="Line 11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5" name="Line 11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6" name="Line 11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7" name="Line 11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8" name="Line 11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9" name="Line 11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0" name="Line 11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1" name="Line 11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2" name="Line 11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3" name="Line 11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4" name="Line 11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5" name="Line 11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6" name="Line 11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7" name="Line 11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8" name="Line 11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9" name="Line 11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0" name="Line 11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1" name="Line 11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2" name="Line 11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3" name="Line 11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4" name="Line 11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5" name="Line 11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6" name="Line 11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7" name="Line 11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8" name="Line 11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9" name="Line 11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0" name="Line 11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1" name="Line 11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2" name="Line 11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3" name="Line 11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4" name="Line 11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5" name="Line 11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6" name="Line 11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7" name="Line 11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8" name="Line 11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9" name="Line 11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0" name="Line 11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1" name="Line 11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2" name="Line 11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3" name="Line 11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4" name="Line 11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5" name="Line 11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6" name="Line 11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7" name="Line 11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8" name="Line 12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9" name="Line 12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0" name="Line 12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1" name="Line 12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2" name="Line 12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3" name="Line 12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4" name="Line 12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5" name="Line 12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6" name="Line 12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7" name="Line 12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8" name="Line 12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9" name="Line 12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0" name="Line 12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1" name="Line 12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2" name="Line 12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3" name="Line 12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4" name="Line 12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5" name="Line 12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6" name="Line 12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7" name="Line 12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8" name="Line 12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9" name="Line 12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0" name="Line 12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1" name="Line 12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2" name="Line 12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03" name="Line 1225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04" name="Line 1226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205" name="Line 1227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206" name="Line 1228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207" name="Line 1229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208" name="Line 1230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209" name="Line 1231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210" name="Line 1232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11" name="Line 1233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12" name="Line 1234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13" name="Line 1235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14" name="Line 1236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15" name="Line 1237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16" name="Line 1238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17" name="Line 1241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18" name="Line 1242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9" name="Line 12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0" name="Line 12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1" name="Line 12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2" name="Line 12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3" name="Line 12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4" name="Line 12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5" name="Line 12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6" name="Line 12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7" name="Line 12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8" name="Line 12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9" name="Line 12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0" name="Line 12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1" name="Line 12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2" name="Line 12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3" name="Line 12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4" name="Line 12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5" name="Line 12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6" name="Line 12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7" name="Line 12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8" name="Line 12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9" name="Line 12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0" name="Line 12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1" name="Line 12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2" name="Line 12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3" name="Line 12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4" name="Line 12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5" name="Line 12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6" name="Line 12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7" name="Line 12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8" name="Line 12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9" name="Line 12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0" name="Line 12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1" name="Line 12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2" name="Line 12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3" name="Line 12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4" name="Line 12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5" name="Line 12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6" name="Line 12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7" name="Line 12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8" name="Line 12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9" name="Line 12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0" name="Line 12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1" name="Line 12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2" name="Line 12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3" name="Line 12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4" name="Line 12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5" name="Line 12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6" name="Line 12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7" name="Line 12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8" name="Line 12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9" name="Line 12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0" name="Line 12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1" name="Line 12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2" name="Line 12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73" name="Line 1297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74" name="Line 1298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275" name="Line 1299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276" name="Line 1300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277" name="Line 1301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278" name="Line 1302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279" name="Line 1303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280" name="Line 1304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81" name="Line 1305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82" name="Line 1306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83" name="Line 1307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84" name="Line 1308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85" name="Line 1309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86" name="Line 1310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87" name="Line 1313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88" name="Line 1314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9" name="Line 13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0" name="Line 13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1" name="Line 13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2" name="Line 13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3" name="Line 13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4" name="Line 13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5" name="Line 13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6" name="Line 13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7" name="Line 13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8" name="Line 13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9" name="Line 13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0" name="Line 13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1" name="Line 13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2" name="Line 13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3" name="Line 13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4" name="Line 13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5" name="Line 13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6" name="Line 13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7" name="Line 13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8" name="Line 13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9" name="Line 13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0" name="Line 13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1" name="Line 13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2" name="Line 13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3" name="Line 13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4" name="Line 13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5" name="Line 13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6" name="Line 13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7" name="Line 13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8" name="Line 13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9" name="Line 13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0" name="Line 13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1" name="Line 13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2" name="Line 13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3" name="Line 13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4" name="Line 13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5" name="Line 13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6" name="Line 13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7" name="Line 13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8" name="Line 13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9" name="Line 13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0" name="Line 13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1" name="Line 13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2" name="Line 13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3" name="Line 13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4" name="Line 13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5" name="Line 13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6" name="Line 13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7" name="Line 13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8" name="Line 13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9" name="Line 13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0" name="Line 13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1" name="Line 13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2" name="Line 13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343" name="Line 1369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344" name="Line 1370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345" name="Line 1371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346" name="Line 1372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347" name="Line 1373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348" name="Line 1374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349" name="Line 1375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350" name="Line 1376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351" name="Line 1377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352" name="Line 1378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53" name="Line 1379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54" name="Line 1380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355" name="Line 1381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356" name="Line 1382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57" name="Line 1385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58" name="Line 1386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9" name="Line 13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0" name="Line 13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1" name="Line 13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2" name="Line 13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3" name="Line 13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4" name="Line 13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5" name="Line 13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6" name="Line 13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7" name="Line 13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8" name="Line 13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9" name="Line 13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0" name="Line 13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1" name="Line 13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2" name="Line 14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3" name="Line 14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4" name="Line 14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5" name="Line 14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6" name="Line 14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7" name="Line 14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8" name="Line 14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9" name="Line 14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0" name="Line 14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1" name="Line 14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2" name="Line 14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3" name="Line 14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4" name="Line 14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5" name="Line 14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6" name="Line 14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7" name="Line 14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8" name="Line 14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9" name="Line 14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0" name="Line 14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1" name="Line 14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2" name="Line 14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3" name="Line 14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4" name="Line 14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5" name="Line 14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6" name="Line 14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7" name="Line 14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8" name="Line 14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9" name="Line 14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0" name="Line 14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1" name="Line 14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2" name="Line 14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3" name="Line 14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4" name="Line 14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5" name="Line 14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6" name="Line 14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7" name="Line 14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8" name="Line 14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9" name="Line 14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0" name="Line 14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1" name="Line 14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2" name="Line 14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13" name="Line 1441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14" name="Line 1442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415" name="Line 1443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416" name="Line 1444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417" name="Line 1445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418" name="Line 1446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419" name="Line 1447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420" name="Line 1448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421" name="Line 1449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422" name="Line 1450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23" name="Line 1451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24" name="Line 1452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25" name="Line 1453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26" name="Line 1454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27" name="Line 1457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28" name="Line 1458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9" name="Line 14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0" name="Line 14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1" name="Line 14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2" name="Line 14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3" name="Line 14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4" name="Line 14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5" name="Line 14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6" name="Line 14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7" name="Line 14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8" name="Line 14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9" name="Line 14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0" name="Line 14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1" name="Line 14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2" name="Line 14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3" name="Line 14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4" name="Line 14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5" name="Line 14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6" name="Line 14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7" name="Line 14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8" name="Line 14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9" name="Line 14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0" name="Line 14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1" name="Line 14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2" name="Line 14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3" name="Line 14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4" name="Line 14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5" name="Line 14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6" name="Line 14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7" name="Line 14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8" name="Line 14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9" name="Line 14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0" name="Line 14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1" name="Line 14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2" name="Line 14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3" name="Line 14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4" name="Line 14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5" name="Line 14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6" name="Line 14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7" name="Line 14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8" name="Line 14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9" name="Line 14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0" name="Line 15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1" name="Line 15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2" name="Line 15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3" name="Line 15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4" name="Line 15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5" name="Line 15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6" name="Line 15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7" name="Line 15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8" name="Line 15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9" name="Line 15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0" name="Line 15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1" name="Line 15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2" name="Line 15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83" name="Line 1513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84" name="Line 1514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485" name="Line 1515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486" name="Line 1516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487" name="Line 1517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488" name="Line 1518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489" name="Line 1519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490" name="Line 1520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491" name="Line 1521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492" name="Line 1522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93" name="Line 1523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94" name="Line 1524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95" name="Line 1525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96" name="Line 1526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97" name="Line 1529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98" name="Line 1530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9" name="Line 15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0" name="Line 15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1" name="Line 15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2" name="Line 15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3" name="Line 15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4" name="Line 15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5" name="Line 15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6" name="Line 15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7" name="Line 15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8" name="Line 15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9" name="Line 15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0" name="Line 15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1" name="Line 15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2" name="Line 15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3" name="Line 15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4" name="Line 15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5" name="Line 15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6" name="Line 15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7" name="Line 15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8" name="Line 15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9" name="Line 15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0" name="Line 15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1" name="Line 15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2" name="Line 15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3" name="Line 15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4" name="Line 15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5" name="Line 15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6" name="Line 15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7" name="Line 15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8" name="Line 15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9" name="Line 15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0" name="Line 15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1" name="Line 15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2" name="Line 15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3" name="Line 15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4" name="Line 15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5" name="Line 15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6" name="Line 15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7" name="Line 15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8" name="Line 15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9" name="Line 15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0" name="Line 15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1" name="Line 15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2" name="Line 15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3" name="Line 15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4" name="Line 15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5" name="Line 15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6" name="Line 15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7" name="Line 15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8" name="Line 15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9" name="Line 15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0" name="Line 15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1" name="Line 15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2" name="Line 15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3" name="Line 15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4" name="Line 15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5" name="Line 15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6" name="Line 15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7" name="Line 15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8" name="Line 15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9" name="Line 15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0" name="Line 15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1" name="Line 15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2" name="Line 15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3" name="Line 15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4" name="Line 15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5" name="Line 15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6" name="Line 16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7" name="Line 16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8" name="Line 16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9" name="Line 16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0" name="Line 16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1" name="Line 16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2" name="Line 16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3" name="Line 16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4" name="Line 16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5" name="Line 16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6" name="Line 16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7" name="Line 16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8" name="Line 16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9" name="Line 16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0" name="Line 16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1" name="Line 16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2" name="Line 16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3" name="Line 16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4" name="Line 16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5" name="Line 16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6" name="Line 16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7" name="Line 16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8" name="Line 16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9" name="Line 16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0" name="Line 16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1" name="Line 16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2" name="Line 16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3" name="Line 16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4" name="Line 16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5" name="Line 16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6" name="Line 16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7" name="Line 16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8" name="Line 16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9" name="Line 16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0" name="Line 16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1" name="Line 16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2" name="Line 16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3" name="Line 16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4" name="Line 16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5" name="Line 16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6" name="Line 16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7" name="Line 16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8" name="Line 16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9" name="Line 16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0" name="Line 16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1" name="Line 16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2" name="Line 16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3" name="Line 16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4" name="Line 16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5" name="Line 16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6" name="Line 16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7" name="Line 16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8" name="Line 16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9" name="Line 16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0" name="Line 16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1" name="Line 16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2" name="Line 16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3" name="Line 16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4" name="Line 16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5" name="Line 16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6" name="Line 16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7" name="Line 16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8" name="Line 16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9" name="Line 16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0" name="Line 16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1" name="Line 16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2" name="Line 16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3" name="Line 16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4" name="Line 16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5" name="Line 16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6" name="Line 16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7" name="Line 16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8" name="Line 16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9" name="Line 16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0" name="Line 16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1" name="Line 16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2" name="Line 16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3" name="Line 16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4" name="Line 16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5" name="Line 16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6" name="Line 16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7" name="Line 16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8" name="Line 16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9" name="Line 16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0" name="Line 16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1" name="Line 16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2" name="Line 16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3" name="Line 16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4" name="Line 16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5" name="Line 16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6" name="Line 16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7" name="Line 16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8" name="Line 16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9" name="Line 16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0" name="Line 16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1" name="Line 16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2" name="Line 16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3" name="Line 16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4" name="Line 16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5" name="Line 16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6" name="Line 17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7" name="Line 17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8" name="Line 17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9" name="Line 17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0" name="Line 17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1" name="Line 17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2" name="Line 17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3" name="Line 17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4" name="Line 17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5" name="Line 17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6" name="Line 17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7" name="Line 17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8" name="Line 17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" name="Line 17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" name="Line 17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" name="Line 17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" name="Line 17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" name="Line 17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" name="Line 17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" name="Line 17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" name="Line 17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7" name="Line 17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8" name="Line 17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9" name="Line 17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0" name="Line 17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1" name="Line 17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2" name="Line 17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3" name="Line 17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4" name="Line 17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5" name="Line 17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6" name="Line 17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7" name="Line 17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8" name="Line 17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9" name="Line 17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0" name="Line 17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701" name="Line 1735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702" name="Line 1736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03" name="Line 1737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04" name="Line 1738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705" name="Line 1739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706" name="Line 1740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707" name="Line 1741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708" name="Line 1742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709" name="Line 1743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710" name="Line 1744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711" name="Line 1745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712" name="Line 1746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713" name="Line 1747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714" name="Line 1748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715" name="Line 1751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716" name="Line 1752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7" name="Line 17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8" name="Line 17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9" name="Line 17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0" name="Line 17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1" name="Line 17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2" name="Line 17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3" name="Line 17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4" name="Line 17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5" name="Line 17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6" name="Line 17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7" name="Line 17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8" name="Line 17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9" name="Line 17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0" name="Line 17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1" name="Line 17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2" name="Line 17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3" name="Line 17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4" name="Line 17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5" name="Line 17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6" name="Line 17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7" name="Line 17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8" name="Line 17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9" name="Line 17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0" name="Line 17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1" name="Line 17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2" name="Line 17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3" name="Line 17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4" name="Line 17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5" name="Line 17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6" name="Line 17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7" name="Line 17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8" name="Line 17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9" name="Line 17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0" name="Line 17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1" name="Line 17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2" name="Line 17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3" name="Line 17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4" name="Line 17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5" name="Line 17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6" name="Line 17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7" name="Line 17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8" name="Line 17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9" name="Line 17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0" name="Line 17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1" name="Line 17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2" name="Line 17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3" name="Line 17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4" name="Line 18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5" name="Line 18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6" name="Line 18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7" name="Line 18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8" name="Line 18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9" name="Line 18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0" name="Line 18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771" name="Line 1807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772" name="Line 1808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73" name="Line 1809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74" name="Line 1810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775" name="Line 1811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776" name="Line 1812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777" name="Line 1813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778" name="Line 1814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779" name="Line 1815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780" name="Line 1816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781" name="Line 1817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782" name="Line 1818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783" name="Line 1819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784" name="Line 1820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785" name="Line 1823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786" name="Line 1824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7" name="Line 18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8" name="Line 18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9" name="Line 18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0" name="Line 18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1" name="Line 18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2" name="Line 18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3" name="Line 18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4" name="Line 18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5" name="Line 18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6" name="Line 18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7" name="Line 18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8" name="Line 18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9" name="Line 18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0" name="Line 18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1" name="Line 18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2" name="Line 18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3" name="Line 18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4" name="Line 18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5" name="Line 18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6" name="Line 18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7" name="Line 18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8" name="Line 18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9" name="Line 18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0" name="Line 18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1" name="Line 18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2" name="Line 18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3" name="Line 185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4" name="Line 185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5" name="Line 185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6" name="Line 185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7" name="Line 185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8" name="Line 185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9" name="Line 185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0" name="Line 185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1" name="Line 185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2" name="Line 186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3" name="Line 186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4" name="Line 186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5" name="Line 186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6" name="Line 186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7" name="Line 186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8" name="Line 186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9" name="Line 186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0" name="Line 186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1" name="Line 18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2" name="Line 18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3" name="Line 18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4" name="Line 18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5" name="Line 18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6" name="Line 18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7" name="Line 18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8" name="Line 18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9" name="Line 18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0" name="Line 18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841" name="Line 1879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842" name="Line 1880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843" name="Line 1881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844" name="Line 1882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845" name="Line 1883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846" name="Line 1884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847" name="Line 1885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848" name="Line 1886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49" name="Line 1887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50" name="Line 1888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51" name="Line 1889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52" name="Line 1890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53" name="Line 1891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54" name="Line 1892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55" name="Line 1895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56" name="Line 1896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7" name="Line 18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8" name="Line 18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9" name="Line 18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0" name="Line 19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1" name="Line 19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2" name="Line 19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3" name="Line 19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4" name="Line 19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5" name="Line 19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6" name="Line 19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7" name="Line 19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8" name="Line 19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9" name="Line 19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0" name="Line 19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1" name="Line 19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2" name="Line 19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3" name="Line 19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4" name="Line 19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5" name="Line 19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6" name="Line 19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7" name="Line 19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8" name="Line 19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9" name="Line 19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0" name="Line 19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1" name="Line 19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2" name="Line 19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3" name="Line 192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4" name="Line 192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5" name="Line 192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6" name="Line 192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7" name="Line 192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8" name="Line 192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9" name="Line 192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0" name="Line 193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1" name="Line 193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2" name="Line 193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3" name="Line 193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4" name="Line 193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5" name="Line 193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6" name="Line 193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7" name="Line 193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8" name="Line 193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9" name="Line 193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0" name="Line 194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1" name="Line 194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2" name="Line 194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3" name="Line 194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4" name="Line 194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5" name="Line 194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6" name="Line 194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7" name="Line 194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8" name="Line 194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9" name="Line 194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10" name="Line 195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911" name="Line 1951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912" name="Line 1952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13" name="Line 1953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14" name="Line 1954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915" name="Line 1955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916" name="Line 1956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917" name="Line 1957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918" name="Line 1958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919" name="Line 1959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920" name="Line 1960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21" name="Line 1961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22" name="Line 1962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923" name="Line 1963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924" name="Line 1964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25" name="Line 1967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26" name="Line 1968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7" name="Line 196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8" name="Line 197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9" name="Line 197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0" name="Line 197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1" name="Line 197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2" name="Line 197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3" name="Line 197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4" name="Line 197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5" name="Line 197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6" name="Line 197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7" name="Line 197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8" name="Line 198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9" name="Line 198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0" name="Line 198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1" name="Line 198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2" name="Line 198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3" name="Line 198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4" name="Line 198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5" name="Line 198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6" name="Line 198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7" name="Line 198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8" name="Line 199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9" name="Line 199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0" name="Line 199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1" name="Line 199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2" name="Line 199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3" name="Line 199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4" name="Line 199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5" name="Line 199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6" name="Line 199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7" name="Line 199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8" name="Line 200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9" name="Line 200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0" name="Line 200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1" name="Line 200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2" name="Line 200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3" name="Line 200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4" name="Line 200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5" name="Line 200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6" name="Line 200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7" name="Line 200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8" name="Line 201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9" name="Line 201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0" name="Line 201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1" name="Line 2013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2" name="Line 2014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3" name="Line 2015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4" name="Line 2016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5" name="Line 2017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6" name="Line 2018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7" name="Line 2019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8" name="Line 2020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9" name="Line 2021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0" name="Line 2022"/>
        <xdr:cNvSpPr>
          <a:spLocks/>
        </xdr:cNvSpPr>
      </xdr:nvSpPr>
      <xdr:spPr>
        <a:xfrm flipH="1" flipV="1">
          <a:off x="0" y="1657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981" name="Line 2023"/>
        <xdr:cNvSpPr>
          <a:spLocks/>
        </xdr:cNvSpPr>
      </xdr:nvSpPr>
      <xdr:spPr>
        <a:xfrm flipH="1" flipV="1">
          <a:off x="9906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82" name="Line 2025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83" name="Line 2026"/>
        <xdr:cNvSpPr>
          <a:spLocks/>
        </xdr:cNvSpPr>
      </xdr:nvSpPr>
      <xdr:spPr>
        <a:xfrm flipH="1" flipV="1">
          <a:off x="25431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984" name="Line 2027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985" name="Line 2028"/>
        <xdr:cNvSpPr>
          <a:spLocks/>
        </xdr:cNvSpPr>
      </xdr:nvSpPr>
      <xdr:spPr>
        <a:xfrm flipH="1" flipV="1">
          <a:off x="320040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986" name="Line 2029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987" name="Line 2030"/>
        <xdr:cNvSpPr>
          <a:spLocks/>
        </xdr:cNvSpPr>
      </xdr:nvSpPr>
      <xdr:spPr>
        <a:xfrm flipH="1" flipV="1">
          <a:off x="3914775" y="1657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988" name="Line 2031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989" name="Line 2032"/>
        <xdr:cNvSpPr>
          <a:spLocks/>
        </xdr:cNvSpPr>
      </xdr:nvSpPr>
      <xdr:spPr>
        <a:xfrm flipH="1" flipV="1">
          <a:off x="54768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90" name="Line 2033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91" name="Line 2034"/>
        <xdr:cNvSpPr>
          <a:spLocks/>
        </xdr:cNvSpPr>
      </xdr:nvSpPr>
      <xdr:spPr>
        <a:xfrm flipH="1" flipV="1">
          <a:off x="6134100" y="165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992" name="Line 2035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993" name="Line 2036"/>
        <xdr:cNvSpPr>
          <a:spLocks/>
        </xdr:cNvSpPr>
      </xdr:nvSpPr>
      <xdr:spPr>
        <a:xfrm flipH="1" flipV="1">
          <a:off x="6953250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94" name="Line 2039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95" name="Line 2040"/>
        <xdr:cNvSpPr>
          <a:spLocks/>
        </xdr:cNvSpPr>
      </xdr:nvSpPr>
      <xdr:spPr>
        <a:xfrm flipH="1" flipV="1">
          <a:off x="8296275" y="165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19050</xdr:rowOff>
    </xdr:from>
    <xdr:to>
      <xdr:col>9</xdr:col>
      <xdr:colOff>323850</xdr:colOff>
      <xdr:row>14</xdr:row>
      <xdr:rowOff>66675</xdr:rowOff>
    </xdr:to>
    <xdr:sp fLocksText="0">
      <xdr:nvSpPr>
        <xdr:cNvPr id="996" name="TextBox 997"/>
        <xdr:cNvSpPr txBox="1">
          <a:spLocks noChangeArrowheads="1"/>
        </xdr:cNvSpPr>
      </xdr:nvSpPr>
      <xdr:spPr>
        <a:xfrm>
          <a:off x="7210425" y="3886200"/>
          <a:ext cx="6667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23</xdr:row>
      <xdr:rowOff>19050</xdr:rowOff>
    </xdr:from>
    <xdr:to>
      <xdr:col>9</xdr:col>
      <xdr:colOff>323850</xdr:colOff>
      <xdr:row>23</xdr:row>
      <xdr:rowOff>66675</xdr:rowOff>
    </xdr:to>
    <xdr:sp fLocksText="0">
      <xdr:nvSpPr>
        <xdr:cNvPr id="997" name="TextBox 998"/>
        <xdr:cNvSpPr txBox="1">
          <a:spLocks noChangeArrowheads="1"/>
        </xdr:cNvSpPr>
      </xdr:nvSpPr>
      <xdr:spPr>
        <a:xfrm>
          <a:off x="7210425" y="6391275"/>
          <a:ext cx="6667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9">
      <selection activeCell="G38" sqref="G38"/>
    </sheetView>
  </sheetViews>
  <sheetFormatPr defaultColWidth="9.140625" defaultRowHeight="21.75"/>
  <cols>
    <col min="1" max="1" width="7.421875" style="19" customWidth="1"/>
    <col min="2" max="2" width="6.00390625" style="19" customWidth="1"/>
    <col min="3" max="3" width="9.140625" style="19" customWidth="1"/>
    <col min="4" max="4" width="12.00390625" style="19" customWidth="1"/>
    <col min="5" max="5" width="9.140625" style="19" customWidth="1"/>
    <col min="6" max="6" width="10.140625" style="19" customWidth="1"/>
    <col min="7" max="9" width="9.140625" style="19" customWidth="1"/>
    <col min="10" max="10" width="17.140625" style="19" customWidth="1"/>
    <col min="11" max="16384" width="9.140625" style="19" customWidth="1"/>
  </cols>
  <sheetData>
    <row r="1" spans="1:10" ht="46.5" customHeight="1">
      <c r="A1" s="70"/>
      <c r="B1" s="70"/>
      <c r="C1" s="70"/>
      <c r="D1" s="70"/>
      <c r="E1" s="334" t="s">
        <v>142</v>
      </c>
      <c r="F1" s="334"/>
      <c r="G1" s="334"/>
      <c r="H1" s="70"/>
      <c r="I1" s="70"/>
      <c r="J1" s="70"/>
    </row>
    <row r="2" spans="1:10" ht="28.5" customHeight="1">
      <c r="A2" s="105" t="s">
        <v>117</v>
      </c>
      <c r="B2" s="70"/>
      <c r="C2" s="70" t="s">
        <v>160</v>
      </c>
      <c r="D2" s="70"/>
      <c r="E2" s="70"/>
      <c r="F2" s="70"/>
      <c r="G2" s="70"/>
      <c r="H2" s="70"/>
      <c r="I2" s="70"/>
      <c r="J2" s="70"/>
    </row>
    <row r="3" spans="1:10" ht="28.5" customHeight="1">
      <c r="A3" s="69" t="s">
        <v>190</v>
      </c>
      <c r="B3" s="70"/>
      <c r="C3" s="70"/>
      <c r="D3" s="70"/>
      <c r="E3" s="70"/>
      <c r="F3" s="70"/>
      <c r="G3" s="289" t="s">
        <v>489</v>
      </c>
      <c r="H3" s="70"/>
      <c r="I3" s="70"/>
      <c r="J3" s="70"/>
    </row>
    <row r="4" spans="1:10" ht="28.5" customHeight="1">
      <c r="A4" s="69" t="s">
        <v>118</v>
      </c>
      <c r="B4" s="70" t="s">
        <v>490</v>
      </c>
      <c r="C4" s="70"/>
      <c r="D4" s="70"/>
      <c r="E4" s="70"/>
      <c r="F4" s="70"/>
      <c r="G4" s="70"/>
      <c r="H4" s="70"/>
      <c r="I4" s="70"/>
      <c r="J4" s="70"/>
    </row>
    <row r="5" spans="1:11" ht="14.25" customHeight="1">
      <c r="A5" s="106"/>
      <c r="B5" s="106"/>
      <c r="C5" s="106"/>
      <c r="D5" s="106"/>
      <c r="E5" s="107"/>
      <c r="F5" s="107"/>
      <c r="G5" s="106"/>
      <c r="H5" s="106"/>
      <c r="I5" s="106"/>
      <c r="J5" s="106"/>
      <c r="K5" s="108"/>
    </row>
    <row r="6" spans="1:6" ht="26.25" customHeight="1">
      <c r="A6" s="69" t="s">
        <v>119</v>
      </c>
      <c r="B6" s="70" t="s">
        <v>128</v>
      </c>
      <c r="C6" s="70"/>
      <c r="D6" s="70"/>
      <c r="E6" s="70"/>
      <c r="F6" s="70"/>
    </row>
    <row r="7" spans="1:6" ht="34.5" customHeight="1">
      <c r="A7" s="70"/>
      <c r="B7" s="70"/>
      <c r="C7" s="70" t="s">
        <v>158</v>
      </c>
      <c r="D7" s="104"/>
      <c r="E7" s="104"/>
      <c r="F7" s="70"/>
    </row>
    <row r="8" spans="1:10" ht="26.25" customHeight="1">
      <c r="A8" s="70" t="s">
        <v>161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26.25" customHeight="1">
      <c r="A9" s="70" t="s">
        <v>162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26.25" customHeight="1">
      <c r="A10" s="70" t="s">
        <v>163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31.5" customHeight="1">
      <c r="A11" s="70"/>
      <c r="B11" s="70"/>
      <c r="C11" s="70" t="s">
        <v>159</v>
      </c>
      <c r="D11" s="70"/>
      <c r="E11" s="70"/>
      <c r="F11" s="70"/>
      <c r="G11" s="70"/>
      <c r="H11" s="70"/>
      <c r="I11" s="70"/>
      <c r="J11" s="70"/>
    </row>
    <row r="12" spans="1:3" ht="36.75" customHeight="1">
      <c r="A12" s="70"/>
      <c r="B12" s="34"/>
      <c r="C12" s="34" t="s">
        <v>120</v>
      </c>
    </row>
    <row r="13" spans="2:12" ht="24">
      <c r="B13" s="109"/>
      <c r="C13" s="109"/>
      <c r="I13" s="333"/>
      <c r="J13" s="333"/>
      <c r="K13" s="333"/>
      <c r="L13" s="333"/>
    </row>
    <row r="14" spans="2:12" ht="24">
      <c r="B14" s="109"/>
      <c r="C14" s="109"/>
      <c r="I14" s="104"/>
      <c r="J14" s="104"/>
      <c r="K14" s="104"/>
      <c r="L14" s="104"/>
    </row>
    <row r="15" spans="6:9" ht="24">
      <c r="F15" s="110" t="s">
        <v>180</v>
      </c>
      <c r="G15" s="110"/>
      <c r="H15" s="110"/>
      <c r="I15" s="110"/>
    </row>
    <row r="16" spans="6:9" ht="24">
      <c r="F16" s="284" t="s">
        <v>471</v>
      </c>
      <c r="G16" s="110"/>
      <c r="H16" s="110"/>
      <c r="I16" s="110"/>
    </row>
    <row r="17" spans="3:8" ht="42.75" customHeight="1">
      <c r="C17" s="111" t="s">
        <v>6</v>
      </c>
      <c r="H17" s="111" t="s">
        <v>6</v>
      </c>
    </row>
    <row r="20" spans="2:9" ht="24">
      <c r="B20" s="70" t="s">
        <v>472</v>
      </c>
      <c r="C20" s="70"/>
      <c r="D20" s="70"/>
      <c r="E20" s="70"/>
      <c r="F20" s="104"/>
      <c r="G20" s="70" t="s">
        <v>25</v>
      </c>
      <c r="H20" s="104"/>
      <c r="I20" s="104"/>
    </row>
    <row r="21" spans="2:9" ht="24">
      <c r="B21" s="70" t="s">
        <v>473</v>
      </c>
      <c r="C21" s="70"/>
      <c r="D21" s="70"/>
      <c r="E21" s="70"/>
      <c r="F21" s="104"/>
      <c r="G21" s="110" t="s">
        <v>127</v>
      </c>
      <c r="H21" s="104"/>
      <c r="I21" s="104"/>
    </row>
    <row r="22" ht="24">
      <c r="C22" s="70" t="s">
        <v>189</v>
      </c>
    </row>
    <row r="24" spans="3:4" ht="24">
      <c r="C24" s="111" t="s">
        <v>7</v>
      </c>
      <c r="D24" s="111"/>
    </row>
    <row r="27" ht="24">
      <c r="B27" s="70" t="s">
        <v>164</v>
      </c>
    </row>
    <row r="28" ht="24">
      <c r="B28" s="110" t="s">
        <v>26</v>
      </c>
    </row>
    <row r="32" spans="1:10" ht="36">
      <c r="A32" s="70"/>
      <c r="B32" s="70"/>
      <c r="C32" s="70"/>
      <c r="D32" s="70"/>
      <c r="E32" s="334" t="s">
        <v>142</v>
      </c>
      <c r="F32" s="334"/>
      <c r="G32" s="334"/>
      <c r="H32" s="70"/>
      <c r="I32" s="70"/>
      <c r="J32" s="70"/>
    </row>
    <row r="33" spans="1:10" ht="27.75">
      <c r="A33" s="105" t="s">
        <v>117</v>
      </c>
      <c r="B33" s="70"/>
      <c r="C33" s="70" t="s">
        <v>160</v>
      </c>
      <c r="D33" s="70"/>
      <c r="E33" s="70"/>
      <c r="F33" s="70"/>
      <c r="G33" s="70"/>
      <c r="H33" s="70"/>
      <c r="I33" s="70"/>
      <c r="J33" s="70"/>
    </row>
    <row r="34" spans="1:10" ht="24">
      <c r="A34" s="69" t="s">
        <v>190</v>
      </c>
      <c r="B34" s="70"/>
      <c r="C34" s="70"/>
      <c r="D34" s="70"/>
      <c r="E34" s="70"/>
      <c r="F34" s="70"/>
      <c r="G34" s="289" t="s">
        <v>615</v>
      </c>
      <c r="H34" s="70"/>
      <c r="I34" s="70"/>
      <c r="J34" s="70"/>
    </row>
    <row r="35" spans="1:10" ht="24">
      <c r="A35" s="69" t="s">
        <v>118</v>
      </c>
      <c r="B35" s="70" t="s">
        <v>614</v>
      </c>
      <c r="C35" s="70"/>
      <c r="D35" s="70"/>
      <c r="E35" s="70"/>
      <c r="F35" s="70"/>
      <c r="G35" s="70"/>
      <c r="H35" s="70"/>
      <c r="I35" s="70"/>
      <c r="J35" s="70"/>
    </row>
    <row r="36" spans="1:11" ht="11.25" customHeight="1">
      <c r="A36" s="106"/>
      <c r="B36" s="106"/>
      <c r="C36" s="106"/>
      <c r="D36" s="106"/>
      <c r="E36" s="107"/>
      <c r="F36" s="107"/>
      <c r="G36" s="106"/>
      <c r="H36" s="106"/>
      <c r="I36" s="106"/>
      <c r="J36" s="106"/>
      <c r="K36" s="108"/>
    </row>
    <row r="37" spans="1:6" ht="24">
      <c r="A37" s="69" t="s">
        <v>119</v>
      </c>
      <c r="B37" s="70" t="s">
        <v>128</v>
      </c>
      <c r="C37" s="70"/>
      <c r="D37" s="70"/>
      <c r="E37" s="70"/>
      <c r="F37" s="70"/>
    </row>
    <row r="38" spans="1:6" ht="25.5" customHeight="1">
      <c r="A38" s="70"/>
      <c r="B38" s="70"/>
      <c r="C38" s="70" t="s">
        <v>158</v>
      </c>
      <c r="D38" s="104"/>
      <c r="E38" s="104"/>
      <c r="F38" s="70"/>
    </row>
    <row r="39" spans="1:10" ht="25.5" customHeight="1">
      <c r="A39" s="70" t="s">
        <v>161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25.5" customHeight="1">
      <c r="A40" s="70" t="s">
        <v>162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5.5" customHeight="1">
      <c r="A41" s="70" t="s">
        <v>163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32.25" customHeight="1">
      <c r="A42" s="70"/>
      <c r="B42" s="70"/>
      <c r="C42" s="70" t="s">
        <v>159</v>
      </c>
      <c r="D42" s="70"/>
      <c r="E42" s="70"/>
      <c r="F42" s="70"/>
      <c r="G42" s="70"/>
      <c r="H42" s="70"/>
      <c r="I42" s="70"/>
      <c r="J42" s="70"/>
    </row>
    <row r="43" spans="1:3" ht="37.5" customHeight="1">
      <c r="A43" s="70"/>
      <c r="B43" s="34"/>
      <c r="C43" s="34" t="s">
        <v>120</v>
      </c>
    </row>
    <row r="44" spans="2:12" ht="24">
      <c r="B44" s="109"/>
      <c r="C44" s="109"/>
      <c r="I44" s="333"/>
      <c r="J44" s="333"/>
      <c r="K44" s="333"/>
      <c r="L44" s="333"/>
    </row>
    <row r="45" spans="2:12" ht="15.75" customHeight="1">
      <c r="B45" s="109"/>
      <c r="C45" s="109"/>
      <c r="I45" s="104"/>
      <c r="J45" s="104"/>
      <c r="K45" s="104"/>
      <c r="L45" s="104"/>
    </row>
    <row r="46" spans="6:9" ht="24">
      <c r="F46" s="110" t="s">
        <v>180</v>
      </c>
      <c r="G46" s="110"/>
      <c r="H46" s="110"/>
      <c r="I46" s="110"/>
    </row>
    <row r="47" spans="6:9" ht="24">
      <c r="F47" s="284" t="s">
        <v>471</v>
      </c>
      <c r="G47" s="110"/>
      <c r="H47" s="110"/>
      <c r="I47" s="110"/>
    </row>
    <row r="48" spans="3:8" ht="24">
      <c r="C48" s="111" t="s">
        <v>6</v>
      </c>
      <c r="H48" s="111" t="s">
        <v>6</v>
      </c>
    </row>
    <row r="51" spans="2:9" ht="24">
      <c r="B51" s="70" t="s">
        <v>472</v>
      </c>
      <c r="C51" s="70"/>
      <c r="D51" s="70"/>
      <c r="E51" s="70"/>
      <c r="F51" s="104"/>
      <c r="G51" s="70" t="s">
        <v>25</v>
      </c>
      <c r="H51" s="104"/>
      <c r="I51" s="104"/>
    </row>
    <row r="52" spans="2:9" ht="24">
      <c r="B52" s="70" t="s">
        <v>473</v>
      </c>
      <c r="C52" s="70"/>
      <c r="D52" s="70"/>
      <c r="E52" s="70"/>
      <c r="F52" s="104"/>
      <c r="G52" s="110" t="s">
        <v>127</v>
      </c>
      <c r="H52" s="104"/>
      <c r="I52" s="104"/>
    </row>
    <row r="53" ht="24">
      <c r="C53" s="70" t="s">
        <v>189</v>
      </c>
    </row>
    <row r="55" spans="3:4" ht="24">
      <c r="C55" s="111" t="s">
        <v>7</v>
      </c>
      <c r="D55" s="111"/>
    </row>
    <row r="58" ht="24">
      <c r="B58" s="70" t="s">
        <v>164</v>
      </c>
    </row>
    <row r="59" ht="24">
      <c r="B59" s="110" t="s">
        <v>26</v>
      </c>
    </row>
  </sheetData>
  <sheetProtection/>
  <mergeCells count="4">
    <mergeCell ref="I13:L13"/>
    <mergeCell ref="E1:G1"/>
    <mergeCell ref="E32:G32"/>
    <mergeCell ref="I44:L44"/>
  </mergeCells>
  <printOptions/>
  <pageMargins left="0.77" right="0" top="0.68" bottom="0.7874015748031497" header="0" footer="0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19"/>
  <sheetViews>
    <sheetView zoomScalePageLayoutView="0" workbookViewId="0" topLeftCell="A161">
      <selection activeCell="B190" sqref="B190"/>
    </sheetView>
  </sheetViews>
  <sheetFormatPr defaultColWidth="9.140625" defaultRowHeight="21.75"/>
  <cols>
    <col min="1" max="1" width="14.8515625" style="19" customWidth="1"/>
    <col min="2" max="2" width="12.140625" style="19" customWidth="1"/>
    <col min="3" max="3" width="11.140625" style="19" customWidth="1"/>
    <col min="4" max="4" width="9.8515625" style="19" customWidth="1"/>
    <col min="5" max="5" width="10.7109375" style="19" customWidth="1"/>
    <col min="6" max="6" width="12.28125" style="19" customWidth="1"/>
    <col min="7" max="7" width="11.140625" style="19" customWidth="1"/>
    <col min="8" max="8" width="9.8515625" style="19" customWidth="1"/>
    <col min="9" max="9" width="12.28125" style="19" customWidth="1"/>
    <col min="10" max="10" width="9.421875" style="19" customWidth="1"/>
    <col min="11" max="11" width="10.7109375" style="19" customWidth="1"/>
    <col min="12" max="12" width="11.00390625" style="19" customWidth="1"/>
    <col min="13" max="13" width="9.8515625" style="19" customWidth="1"/>
    <col min="14" max="14" width="12.8515625" style="19" customWidth="1"/>
    <col min="15" max="15" width="12.7109375" style="19" customWidth="1"/>
    <col min="16" max="16384" width="9.140625" style="19" customWidth="1"/>
  </cols>
  <sheetData>
    <row r="2" spans="1:15" ht="21.75">
      <c r="A2" s="377" t="s">
        <v>132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1.75">
      <c r="A3" s="377" t="s">
        <v>518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21.75">
      <c r="A4" s="381" t="s">
        <v>519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21.75">
      <c r="A5" s="292" t="s">
        <v>494</v>
      </c>
      <c r="B5" s="378" t="s">
        <v>496</v>
      </c>
      <c r="C5" s="379"/>
      <c r="D5" s="295" t="s">
        <v>497</v>
      </c>
      <c r="E5" s="378" t="s">
        <v>498</v>
      </c>
      <c r="F5" s="379"/>
      <c r="G5" s="293" t="s">
        <v>499</v>
      </c>
      <c r="H5" s="293" t="s">
        <v>500</v>
      </c>
      <c r="I5" s="293" t="s">
        <v>501</v>
      </c>
      <c r="J5" s="378" t="s">
        <v>502</v>
      </c>
      <c r="K5" s="379"/>
      <c r="L5" s="294" t="s">
        <v>503</v>
      </c>
      <c r="M5" s="296" t="s">
        <v>504</v>
      </c>
      <c r="N5" s="293" t="s">
        <v>529</v>
      </c>
      <c r="O5" s="380" t="s">
        <v>46</v>
      </c>
    </row>
    <row r="6" spans="1:15" ht="21.75">
      <c r="A6" s="297" t="s">
        <v>530</v>
      </c>
      <c r="B6" s="296" t="s">
        <v>505</v>
      </c>
      <c r="C6" s="296" t="s">
        <v>506</v>
      </c>
      <c r="D6" s="296" t="s">
        <v>507</v>
      </c>
      <c r="E6" s="296" t="s">
        <v>508</v>
      </c>
      <c r="F6" s="296" t="s">
        <v>509</v>
      </c>
      <c r="G6" s="296" t="s">
        <v>510</v>
      </c>
      <c r="H6" s="296" t="s">
        <v>511</v>
      </c>
      <c r="I6" s="298" t="s">
        <v>512</v>
      </c>
      <c r="J6" s="296" t="s">
        <v>528</v>
      </c>
      <c r="K6" s="296" t="s">
        <v>513</v>
      </c>
      <c r="L6" s="296" t="s">
        <v>514</v>
      </c>
      <c r="M6" s="296" t="s">
        <v>515</v>
      </c>
      <c r="N6" s="293" t="s">
        <v>495</v>
      </c>
      <c r="O6" s="380"/>
    </row>
    <row r="7" spans="1:15" ht="21.75">
      <c r="A7" s="299" t="s">
        <v>520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  <c r="O7" s="300"/>
    </row>
    <row r="8" spans="1:15" ht="21.75">
      <c r="A8" s="302" t="s">
        <v>521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4">
        <v>7853</v>
      </c>
      <c r="O8" s="305">
        <f>SUM(B8:N8)</f>
        <v>7853</v>
      </c>
    </row>
    <row r="9" spans="1:15" ht="21.75">
      <c r="A9" s="302" t="s">
        <v>522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>
        <v>358700</v>
      </c>
      <c r="O9" s="305">
        <f aca="true" t="shared" si="0" ref="O9:O14">SUM(B9:N9)</f>
        <v>358700</v>
      </c>
    </row>
    <row r="10" spans="1:15" ht="21.75">
      <c r="A10" s="302" t="s">
        <v>523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4">
        <v>71200</v>
      </c>
      <c r="O10" s="305">
        <f t="shared" si="0"/>
        <v>71200</v>
      </c>
    </row>
    <row r="11" spans="1:15" ht="21.75">
      <c r="A11" s="302" t="s">
        <v>524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6"/>
      <c r="M11" s="306"/>
      <c r="N11" s="307">
        <v>2500</v>
      </c>
      <c r="O11" s="305">
        <f t="shared" si="0"/>
        <v>2500</v>
      </c>
    </row>
    <row r="12" spans="1:15" ht="21.75">
      <c r="A12" s="302" t="s">
        <v>525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7">
        <v>0</v>
      </c>
      <c r="O12" s="305">
        <f t="shared" si="0"/>
        <v>0</v>
      </c>
    </row>
    <row r="13" spans="1:15" ht="21.75">
      <c r="A13" s="302" t="s">
        <v>526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7">
        <v>0</v>
      </c>
      <c r="O13" s="305">
        <f t="shared" si="0"/>
        <v>0</v>
      </c>
    </row>
    <row r="14" spans="1:15" ht="21.75">
      <c r="A14" s="302" t="s">
        <v>527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7">
        <v>0</v>
      </c>
      <c r="O14" s="305">
        <f t="shared" si="0"/>
        <v>0</v>
      </c>
    </row>
    <row r="15" spans="1:15" ht="21.75">
      <c r="A15" s="308" t="s">
        <v>516</v>
      </c>
      <c r="B15" s="309">
        <v>0</v>
      </c>
      <c r="C15" s="309">
        <v>0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309">
        <v>0</v>
      </c>
      <c r="J15" s="309">
        <v>0</v>
      </c>
      <c r="K15" s="309">
        <v>0</v>
      </c>
      <c r="L15" s="309">
        <v>0</v>
      </c>
      <c r="M15" s="309">
        <v>0</v>
      </c>
      <c r="N15" s="310">
        <f>SUM(N8:N14)</f>
        <v>440253</v>
      </c>
      <c r="O15" s="310">
        <f>SUM(O8:O14)</f>
        <v>440253</v>
      </c>
    </row>
    <row r="16" spans="1:15" ht="22.5" thickBot="1">
      <c r="A16" s="311" t="s">
        <v>517</v>
      </c>
      <c r="B16" s="312"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2">
        <v>0</v>
      </c>
      <c r="L16" s="312">
        <v>0</v>
      </c>
      <c r="M16" s="312">
        <v>0</v>
      </c>
      <c r="N16" s="312">
        <v>5293855</v>
      </c>
      <c r="O16" s="312">
        <v>5293855</v>
      </c>
    </row>
    <row r="17" spans="1:15" ht="22.5" thickTop="1">
      <c r="A17" s="299" t="s">
        <v>193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1"/>
      <c r="O17" s="300"/>
    </row>
    <row r="18" spans="1:15" ht="21.75">
      <c r="A18" s="302" t="s">
        <v>531</v>
      </c>
      <c r="B18" s="303">
        <v>42840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  <c r="O18" s="305">
        <f>SUM(B18:N18)</f>
        <v>42840</v>
      </c>
    </row>
    <row r="19" spans="1:15" ht="21.75">
      <c r="A19" s="302" t="s">
        <v>532</v>
      </c>
      <c r="B19" s="303">
        <v>3510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4"/>
      <c r="O19" s="305">
        <f>SUM(B19:N19)</f>
        <v>3510</v>
      </c>
    </row>
    <row r="20" spans="1:15" ht="21.75">
      <c r="A20" s="302" t="s">
        <v>533</v>
      </c>
      <c r="B20" s="303">
        <v>3510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4"/>
      <c r="O20" s="305">
        <f>SUM(B20:N20)</f>
        <v>3510</v>
      </c>
    </row>
    <row r="21" spans="1:15" ht="21.75">
      <c r="A21" s="302" t="s">
        <v>534</v>
      </c>
      <c r="B21" s="303">
        <v>7200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6"/>
      <c r="M21" s="306"/>
      <c r="N21" s="307"/>
      <c r="O21" s="305">
        <f>SUM(B21:N21)</f>
        <v>7200</v>
      </c>
    </row>
    <row r="22" spans="1:15" ht="21.75">
      <c r="A22" s="302" t="s">
        <v>535</v>
      </c>
      <c r="B22" s="306">
        <v>150000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O22" s="305">
        <f>SUM(B22:N22)</f>
        <v>150000</v>
      </c>
    </row>
    <row r="23" spans="1:15" ht="21.75">
      <c r="A23" s="302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  <c r="O23" s="305"/>
    </row>
    <row r="24" spans="1:15" ht="21.75">
      <c r="A24" s="308" t="s">
        <v>516</v>
      </c>
      <c r="B24" s="309">
        <f>SUM(B18:B23)</f>
        <v>207060</v>
      </c>
      <c r="C24" s="309">
        <v>0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309">
        <v>0</v>
      </c>
      <c r="L24" s="309">
        <v>0</v>
      </c>
      <c r="M24" s="309">
        <v>0</v>
      </c>
      <c r="N24" s="309">
        <v>0</v>
      </c>
      <c r="O24" s="310">
        <f>SUM(O18:O23)</f>
        <v>207060</v>
      </c>
    </row>
    <row r="25" spans="1:15" ht="22.5" thickBot="1">
      <c r="A25" s="311" t="s">
        <v>517</v>
      </c>
      <c r="B25" s="312">
        <v>2070600</v>
      </c>
      <c r="C25" s="312">
        <v>0</v>
      </c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312">
        <v>0</v>
      </c>
      <c r="M25" s="312">
        <v>0</v>
      </c>
      <c r="N25" s="312">
        <v>0</v>
      </c>
      <c r="O25" s="312">
        <f>SUM(B25:N25)</f>
        <v>2070600</v>
      </c>
    </row>
    <row r="26" ht="22.5" thickTop="1"/>
    <row r="30" spans="1:15" ht="21.75">
      <c r="A30" s="377" t="s">
        <v>132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21.75">
      <c r="A31" s="377" t="s">
        <v>518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21.75">
      <c r="A32" s="381" t="s">
        <v>519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</row>
    <row r="33" spans="1:15" ht="21.75">
      <c r="A33" s="292" t="s">
        <v>494</v>
      </c>
      <c r="B33" s="378" t="s">
        <v>496</v>
      </c>
      <c r="C33" s="379"/>
      <c r="D33" s="295" t="s">
        <v>497</v>
      </c>
      <c r="E33" s="378" t="s">
        <v>498</v>
      </c>
      <c r="F33" s="379"/>
      <c r="G33" s="293" t="s">
        <v>499</v>
      </c>
      <c r="H33" s="293" t="s">
        <v>500</v>
      </c>
      <c r="I33" s="293" t="s">
        <v>501</v>
      </c>
      <c r="J33" s="378" t="s">
        <v>502</v>
      </c>
      <c r="K33" s="379"/>
      <c r="L33" s="294" t="s">
        <v>503</v>
      </c>
      <c r="M33" s="296" t="s">
        <v>504</v>
      </c>
      <c r="N33" s="293" t="s">
        <v>529</v>
      </c>
      <c r="O33" s="380" t="s">
        <v>46</v>
      </c>
    </row>
    <row r="34" spans="1:15" ht="21.75">
      <c r="A34" s="297" t="s">
        <v>530</v>
      </c>
      <c r="B34" s="296" t="s">
        <v>505</v>
      </c>
      <c r="C34" s="296" t="s">
        <v>506</v>
      </c>
      <c r="D34" s="296" t="s">
        <v>507</v>
      </c>
      <c r="E34" s="296" t="s">
        <v>508</v>
      </c>
      <c r="F34" s="296" t="s">
        <v>509</v>
      </c>
      <c r="G34" s="296" t="s">
        <v>510</v>
      </c>
      <c r="H34" s="296" t="s">
        <v>511</v>
      </c>
      <c r="I34" s="298" t="s">
        <v>512</v>
      </c>
      <c r="J34" s="296" t="s">
        <v>528</v>
      </c>
      <c r="K34" s="296" t="s">
        <v>513</v>
      </c>
      <c r="L34" s="296" t="s">
        <v>514</v>
      </c>
      <c r="M34" s="296" t="s">
        <v>515</v>
      </c>
      <c r="N34" s="293" t="s">
        <v>495</v>
      </c>
      <c r="O34" s="380"/>
    </row>
    <row r="35" spans="1:15" ht="21.75">
      <c r="A35" s="299" t="s">
        <v>194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1"/>
      <c r="O35" s="300"/>
    </row>
    <row r="36" spans="1:15" ht="21.75">
      <c r="A36" s="302" t="s">
        <v>536</v>
      </c>
      <c r="B36" s="303">
        <v>195460</v>
      </c>
      <c r="C36" s="303">
        <v>43860</v>
      </c>
      <c r="D36" s="303"/>
      <c r="E36" s="303">
        <v>66360</v>
      </c>
      <c r="F36" s="303"/>
      <c r="G36" s="303"/>
      <c r="H36" s="303"/>
      <c r="I36" s="303">
        <v>19860</v>
      </c>
      <c r="J36" s="303"/>
      <c r="K36" s="303"/>
      <c r="L36" s="303"/>
      <c r="M36" s="303"/>
      <c r="N36" s="304"/>
      <c r="O36" s="305">
        <f>SUM(B36:N36)</f>
        <v>325540</v>
      </c>
    </row>
    <row r="37" spans="1:15" ht="21.75">
      <c r="A37" s="302" t="s">
        <v>537</v>
      </c>
      <c r="B37" s="303">
        <v>930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4"/>
      <c r="O37" s="305">
        <f aca="true" t="shared" si="1" ref="O37:O42">SUM(B37:N37)</f>
        <v>930</v>
      </c>
    </row>
    <row r="38" spans="1:15" ht="21.75">
      <c r="A38" s="302" t="s">
        <v>538</v>
      </c>
      <c r="B38" s="303">
        <v>21000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4"/>
      <c r="O38" s="305">
        <f t="shared" si="1"/>
        <v>21000</v>
      </c>
    </row>
    <row r="39" spans="1:15" ht="21.75">
      <c r="A39" s="302" t="s">
        <v>539</v>
      </c>
      <c r="B39" s="303">
        <v>13760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6"/>
      <c r="M39" s="306"/>
      <c r="N39" s="307"/>
      <c r="O39" s="305">
        <f t="shared" si="1"/>
        <v>13760</v>
      </c>
    </row>
    <row r="40" spans="1:15" ht="21.75">
      <c r="A40" s="302" t="s">
        <v>540</v>
      </c>
      <c r="B40" s="306">
        <v>88710</v>
      </c>
      <c r="C40" s="306">
        <v>22310</v>
      </c>
      <c r="D40" s="306"/>
      <c r="E40" s="306">
        <v>18000</v>
      </c>
      <c r="F40" s="306"/>
      <c r="G40" s="306"/>
      <c r="H40" s="306"/>
      <c r="I40" s="306">
        <v>11600</v>
      </c>
      <c r="J40" s="306"/>
      <c r="K40" s="306"/>
      <c r="L40" s="306"/>
      <c r="M40" s="306"/>
      <c r="N40" s="307"/>
      <c r="O40" s="305">
        <f t="shared" si="1"/>
        <v>140620</v>
      </c>
    </row>
    <row r="41" spans="1:15" ht="21.75">
      <c r="A41" s="302" t="s">
        <v>541</v>
      </c>
      <c r="B41" s="306">
        <v>11585</v>
      </c>
      <c r="C41" s="306">
        <v>3985</v>
      </c>
      <c r="D41" s="306"/>
      <c r="E41" s="306">
        <v>2000</v>
      </c>
      <c r="F41" s="306"/>
      <c r="G41" s="306"/>
      <c r="H41" s="306"/>
      <c r="I41" s="306">
        <v>1685</v>
      </c>
      <c r="J41" s="306"/>
      <c r="K41" s="306"/>
      <c r="L41" s="306"/>
      <c r="M41" s="306"/>
      <c r="N41" s="307"/>
      <c r="O41" s="305">
        <f t="shared" si="1"/>
        <v>19255</v>
      </c>
    </row>
    <row r="42" spans="1:15" ht="21.75">
      <c r="A42" s="302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7"/>
      <c r="O42" s="305">
        <f t="shared" si="1"/>
        <v>0</v>
      </c>
    </row>
    <row r="43" spans="1:15" ht="21.75">
      <c r="A43" s="308" t="s">
        <v>516</v>
      </c>
      <c r="B43" s="309">
        <f>SUM(B36:B42)</f>
        <v>331445</v>
      </c>
      <c r="C43" s="309">
        <f>SUM(C36:C42)</f>
        <v>70155</v>
      </c>
      <c r="D43" s="309"/>
      <c r="E43" s="309">
        <f>SUM(E36:E42)</f>
        <v>86360</v>
      </c>
      <c r="F43" s="309"/>
      <c r="G43" s="309"/>
      <c r="H43" s="309"/>
      <c r="I43" s="309">
        <f>SUM(I36:I42)</f>
        <v>33145</v>
      </c>
      <c r="J43" s="309"/>
      <c r="K43" s="309"/>
      <c r="L43" s="309"/>
      <c r="M43" s="309"/>
      <c r="N43" s="310"/>
      <c r="O43" s="310">
        <f>SUM(O36:O42)</f>
        <v>521105</v>
      </c>
    </row>
    <row r="44" spans="1:15" ht="22.5" thickBot="1">
      <c r="A44" s="311" t="s">
        <v>517</v>
      </c>
      <c r="B44" s="312">
        <v>3181400</v>
      </c>
      <c r="C44" s="312">
        <v>696078</v>
      </c>
      <c r="D44" s="312">
        <v>0</v>
      </c>
      <c r="E44" s="312">
        <v>585628</v>
      </c>
      <c r="F44" s="312">
        <v>0</v>
      </c>
      <c r="G44" s="312">
        <v>0</v>
      </c>
      <c r="H44" s="312">
        <v>0</v>
      </c>
      <c r="I44" s="312">
        <v>533018</v>
      </c>
      <c r="J44" s="312">
        <v>0</v>
      </c>
      <c r="K44" s="312">
        <v>0</v>
      </c>
      <c r="L44" s="312">
        <v>0</v>
      </c>
      <c r="M44" s="312">
        <v>0</v>
      </c>
      <c r="N44" s="312">
        <v>0</v>
      </c>
      <c r="O44" s="312">
        <f>SUM(B44:N44)</f>
        <v>4996124</v>
      </c>
    </row>
    <row r="45" spans="1:15" ht="22.5" thickTop="1">
      <c r="A45" s="299" t="s">
        <v>191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1"/>
      <c r="O45" s="300"/>
    </row>
    <row r="46" spans="1:15" ht="21.75">
      <c r="A46" s="302" t="s">
        <v>542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4"/>
      <c r="O46" s="305">
        <f>SUM(B46:N46)</f>
        <v>0</v>
      </c>
    </row>
    <row r="47" spans="1:15" ht="21.75">
      <c r="A47" s="302" t="s">
        <v>543</v>
      </c>
      <c r="B47" s="303">
        <v>5500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4"/>
      <c r="O47" s="305">
        <f>SUM(B47:N47)</f>
        <v>5500</v>
      </c>
    </row>
    <row r="48" spans="1:15" ht="21.75">
      <c r="A48" s="302" t="s">
        <v>544</v>
      </c>
      <c r="B48" s="303"/>
      <c r="C48" s="303">
        <v>2670</v>
      </c>
      <c r="D48" s="303"/>
      <c r="E48" s="303">
        <v>2722</v>
      </c>
      <c r="F48" s="303"/>
      <c r="G48" s="303"/>
      <c r="H48" s="303"/>
      <c r="I48" s="303"/>
      <c r="J48" s="303"/>
      <c r="K48" s="303"/>
      <c r="L48" s="303"/>
      <c r="M48" s="303"/>
      <c r="N48" s="304"/>
      <c r="O48" s="305">
        <f>SUM(B48:N48)</f>
        <v>5392</v>
      </c>
    </row>
    <row r="49" spans="1:15" ht="21.75">
      <c r="A49" s="302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7"/>
      <c r="O49" s="305">
        <f>SUM(B49:N49)</f>
        <v>0</v>
      </c>
    </row>
    <row r="50" spans="1:15" ht="21.75">
      <c r="A50" s="308" t="s">
        <v>516</v>
      </c>
      <c r="B50" s="309">
        <f>SUM(B46:B49)</f>
        <v>5500</v>
      </c>
      <c r="C50" s="309">
        <f>SUM(C46:C49)</f>
        <v>2670</v>
      </c>
      <c r="D50" s="309"/>
      <c r="E50" s="309">
        <f>SUM(E46:E49)</f>
        <v>2722</v>
      </c>
      <c r="F50" s="309"/>
      <c r="G50" s="309"/>
      <c r="H50" s="309"/>
      <c r="I50" s="309">
        <f>SUM(I46:I49)</f>
        <v>0</v>
      </c>
      <c r="J50" s="309"/>
      <c r="K50" s="309"/>
      <c r="L50" s="309"/>
      <c r="M50" s="309"/>
      <c r="N50" s="310"/>
      <c r="O50" s="310">
        <f>SUM(O46:O49)</f>
        <v>10892</v>
      </c>
    </row>
    <row r="51" spans="1:15" ht="22.5" thickBot="1">
      <c r="A51" s="311" t="s">
        <v>517</v>
      </c>
      <c r="B51" s="312">
        <v>94300</v>
      </c>
      <c r="C51" s="312">
        <v>9543.5</v>
      </c>
      <c r="D51" s="312">
        <v>0</v>
      </c>
      <c r="E51" s="312">
        <v>7437</v>
      </c>
      <c r="F51" s="312">
        <v>0</v>
      </c>
      <c r="G51" s="312">
        <v>0</v>
      </c>
      <c r="H51" s="312">
        <v>0</v>
      </c>
      <c r="I51" s="312">
        <v>18000</v>
      </c>
      <c r="J51" s="312">
        <v>0</v>
      </c>
      <c r="K51" s="312">
        <v>0</v>
      </c>
      <c r="L51" s="312">
        <v>0</v>
      </c>
      <c r="M51" s="312">
        <v>0</v>
      </c>
      <c r="N51" s="312">
        <v>0</v>
      </c>
      <c r="O51" s="312">
        <f>SUM(B51:N51)</f>
        <v>129280.5</v>
      </c>
    </row>
    <row r="52" spans="1:15" ht="22.5" thickTop="1">
      <c r="A52" s="299" t="s">
        <v>139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1"/>
      <c r="O52" s="300"/>
    </row>
    <row r="53" spans="1:15" ht="21.75">
      <c r="A53" s="302" t="s">
        <v>545</v>
      </c>
      <c r="B53" s="303">
        <v>51100</v>
      </c>
      <c r="C53" s="303"/>
      <c r="D53" s="303"/>
      <c r="E53" s="303">
        <v>6600</v>
      </c>
      <c r="F53" s="303"/>
      <c r="G53" s="303">
        <v>60600</v>
      </c>
      <c r="H53" s="303"/>
      <c r="I53" s="303"/>
      <c r="J53" s="303"/>
      <c r="K53" s="303"/>
      <c r="L53" s="303"/>
      <c r="M53" s="303"/>
      <c r="N53" s="304"/>
      <c r="O53" s="305">
        <f>SUM(B53:N53)</f>
        <v>118300</v>
      </c>
    </row>
    <row r="54" spans="1:15" ht="21.75">
      <c r="A54" s="302" t="s">
        <v>546</v>
      </c>
      <c r="B54" s="303">
        <v>33400</v>
      </c>
      <c r="C54" s="303"/>
      <c r="D54" s="303"/>
      <c r="E54" s="303"/>
      <c r="F54" s="303">
        <v>74340</v>
      </c>
      <c r="G54" s="303">
        <v>600</v>
      </c>
      <c r="H54" s="303"/>
      <c r="I54" s="303"/>
      <c r="J54" s="303"/>
      <c r="K54" s="303">
        <v>32500</v>
      </c>
      <c r="L54" s="303">
        <v>70320</v>
      </c>
      <c r="M54" s="303"/>
      <c r="N54" s="304"/>
      <c r="O54" s="305">
        <f>SUM(B54:N54)</f>
        <v>211160</v>
      </c>
    </row>
    <row r="55" spans="1:15" ht="21.75">
      <c r="A55" s="302" t="s">
        <v>547</v>
      </c>
      <c r="B55" s="303">
        <v>1450</v>
      </c>
      <c r="C55" s="303">
        <v>200</v>
      </c>
      <c r="D55" s="303"/>
      <c r="E55" s="303">
        <v>1900</v>
      </c>
      <c r="F55" s="303"/>
      <c r="G55" s="303"/>
      <c r="H55" s="303"/>
      <c r="I55" s="303"/>
      <c r="J55" s="303"/>
      <c r="K55" s="303"/>
      <c r="L55" s="303"/>
      <c r="M55" s="303"/>
      <c r="N55" s="304"/>
      <c r="O55" s="305">
        <f>SUM(B55:N55)</f>
        <v>3550</v>
      </c>
    </row>
    <row r="56" spans="1:15" ht="21.75">
      <c r="A56" s="302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7"/>
      <c r="O56" s="305">
        <f>SUM(B56:N56)</f>
        <v>0</v>
      </c>
    </row>
    <row r="57" spans="1:15" ht="21.75">
      <c r="A57" s="308" t="s">
        <v>516</v>
      </c>
      <c r="B57" s="309">
        <f>SUM(B53:B56)</f>
        <v>85950</v>
      </c>
      <c r="C57" s="309">
        <f>SUM(C53:C56)</f>
        <v>200</v>
      </c>
      <c r="D57" s="309"/>
      <c r="E57" s="309">
        <f>SUM(E53:E56)</f>
        <v>8500</v>
      </c>
      <c r="F57" s="309">
        <f>SUM(F53:F56)</f>
        <v>74340</v>
      </c>
      <c r="G57" s="309">
        <f>SUM(G53:G56)</f>
        <v>61200</v>
      </c>
      <c r="H57" s="309"/>
      <c r="I57" s="309">
        <f>SUM(I53:I56)</f>
        <v>0</v>
      </c>
      <c r="J57" s="309"/>
      <c r="K57" s="309">
        <v>32500</v>
      </c>
      <c r="L57" s="309">
        <v>70320</v>
      </c>
      <c r="M57" s="309"/>
      <c r="N57" s="310"/>
      <c r="O57" s="310">
        <f>SUM(O53:O56)</f>
        <v>333010</v>
      </c>
    </row>
    <row r="58" spans="1:15" ht="22.5" thickBot="1">
      <c r="A58" s="311" t="s">
        <v>517</v>
      </c>
      <c r="B58" s="312">
        <v>1111516.67</v>
      </c>
      <c r="C58" s="312">
        <v>20643.6</v>
      </c>
      <c r="D58" s="312">
        <v>27155</v>
      </c>
      <c r="E58" s="312">
        <v>155950</v>
      </c>
      <c r="F58" s="312">
        <v>410027</v>
      </c>
      <c r="G58" s="312">
        <v>709020</v>
      </c>
      <c r="H58" s="312">
        <v>48000</v>
      </c>
      <c r="I58" s="312">
        <v>105241</v>
      </c>
      <c r="J58" s="319">
        <v>90000</v>
      </c>
      <c r="K58" s="312">
        <v>53700</v>
      </c>
      <c r="L58" s="312">
        <v>173820</v>
      </c>
      <c r="M58" s="312">
        <v>0</v>
      </c>
      <c r="N58" s="312">
        <v>0</v>
      </c>
      <c r="O58" s="312">
        <f>SUM(B58:N58)</f>
        <v>2905073.27</v>
      </c>
    </row>
    <row r="59" spans="1:15" ht="22.5" thickTop="1">
      <c r="A59" s="292" t="s">
        <v>494</v>
      </c>
      <c r="B59" s="378" t="s">
        <v>496</v>
      </c>
      <c r="C59" s="379"/>
      <c r="D59" s="295" t="s">
        <v>497</v>
      </c>
      <c r="E59" s="378" t="s">
        <v>498</v>
      </c>
      <c r="F59" s="379"/>
      <c r="G59" s="293" t="s">
        <v>499</v>
      </c>
      <c r="H59" s="293" t="s">
        <v>500</v>
      </c>
      <c r="I59" s="293" t="s">
        <v>501</v>
      </c>
      <c r="J59" s="378" t="s">
        <v>502</v>
      </c>
      <c r="K59" s="379"/>
      <c r="L59" s="294" t="s">
        <v>503</v>
      </c>
      <c r="M59" s="296" t="s">
        <v>504</v>
      </c>
      <c r="N59" s="293" t="s">
        <v>529</v>
      </c>
      <c r="O59" s="380" t="s">
        <v>46</v>
      </c>
    </row>
    <row r="60" spans="1:15" ht="21.75">
      <c r="A60" s="297" t="s">
        <v>530</v>
      </c>
      <c r="B60" s="296" t="s">
        <v>505</v>
      </c>
      <c r="C60" s="296" t="s">
        <v>506</v>
      </c>
      <c r="D60" s="296" t="s">
        <v>507</v>
      </c>
      <c r="E60" s="296" t="s">
        <v>508</v>
      </c>
      <c r="F60" s="296" t="s">
        <v>509</v>
      </c>
      <c r="G60" s="296" t="s">
        <v>510</v>
      </c>
      <c r="H60" s="296" t="s">
        <v>511</v>
      </c>
      <c r="I60" s="298" t="s">
        <v>512</v>
      </c>
      <c r="J60" s="296" t="s">
        <v>528</v>
      </c>
      <c r="K60" s="296" t="s">
        <v>513</v>
      </c>
      <c r="L60" s="296" t="s">
        <v>514</v>
      </c>
      <c r="M60" s="296" t="s">
        <v>515</v>
      </c>
      <c r="N60" s="293" t="s">
        <v>495</v>
      </c>
      <c r="O60" s="380"/>
    </row>
    <row r="61" spans="1:15" ht="21" customHeight="1">
      <c r="A61" s="299" t="s">
        <v>548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1"/>
      <c r="O61" s="300"/>
    </row>
    <row r="62" spans="1:15" ht="21" customHeight="1">
      <c r="A62" s="302" t="s">
        <v>549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4"/>
      <c r="O62" s="305">
        <f>SUM(B62:N62)</f>
        <v>0</v>
      </c>
    </row>
    <row r="63" spans="1:15" ht="21" customHeight="1">
      <c r="A63" s="302" t="s">
        <v>550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4"/>
      <c r="O63" s="305">
        <f aca="true" t="shared" si="2" ref="O63:O73">SUM(B63:N63)</f>
        <v>0</v>
      </c>
    </row>
    <row r="64" spans="1:15" ht="21" customHeight="1">
      <c r="A64" s="302" t="s">
        <v>551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4"/>
      <c r="O64" s="305">
        <f t="shared" si="2"/>
        <v>0</v>
      </c>
    </row>
    <row r="65" spans="1:15" ht="21" customHeight="1">
      <c r="A65" s="302" t="s">
        <v>552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4"/>
      <c r="O65" s="305">
        <f t="shared" si="2"/>
        <v>0</v>
      </c>
    </row>
    <row r="66" spans="1:15" ht="21" customHeight="1">
      <c r="A66" s="302" t="s">
        <v>553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4"/>
      <c r="O66" s="305">
        <f t="shared" si="2"/>
        <v>0</v>
      </c>
    </row>
    <row r="67" spans="1:15" ht="21" customHeight="1">
      <c r="A67" s="302" t="s">
        <v>554</v>
      </c>
      <c r="B67" s="303">
        <v>8380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4"/>
      <c r="O67" s="305">
        <f t="shared" si="2"/>
        <v>8380</v>
      </c>
    </row>
    <row r="68" spans="1:15" ht="21" customHeight="1">
      <c r="A68" s="302" t="s">
        <v>555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4"/>
      <c r="O68" s="305">
        <f t="shared" si="2"/>
        <v>0</v>
      </c>
    </row>
    <row r="69" spans="1:15" ht="21" customHeight="1">
      <c r="A69" s="302" t="s">
        <v>556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4"/>
      <c r="O69" s="305">
        <f t="shared" si="2"/>
        <v>0</v>
      </c>
    </row>
    <row r="70" spans="1:15" ht="21" customHeight="1">
      <c r="A70" s="302" t="s">
        <v>557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4"/>
      <c r="O70" s="305">
        <f t="shared" si="2"/>
        <v>0</v>
      </c>
    </row>
    <row r="71" spans="1:15" ht="21" customHeight="1">
      <c r="A71" s="302" t="s">
        <v>558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4"/>
      <c r="O71" s="305">
        <f t="shared" si="2"/>
        <v>0</v>
      </c>
    </row>
    <row r="72" spans="1:15" ht="21" customHeight="1">
      <c r="A72" s="302" t="s">
        <v>559</v>
      </c>
      <c r="B72" s="303">
        <v>2690</v>
      </c>
      <c r="C72" s="303"/>
      <c r="D72" s="303"/>
      <c r="E72" s="303">
        <v>2900</v>
      </c>
      <c r="F72" s="303"/>
      <c r="G72" s="303"/>
      <c r="H72" s="303"/>
      <c r="I72" s="303"/>
      <c r="J72" s="303"/>
      <c r="K72" s="303"/>
      <c r="L72" s="303"/>
      <c r="M72" s="303"/>
      <c r="N72" s="304"/>
      <c r="O72" s="305">
        <f t="shared" si="2"/>
        <v>5590</v>
      </c>
    </row>
    <row r="73" spans="1:15" ht="21" customHeight="1">
      <c r="A73" s="308" t="s">
        <v>516</v>
      </c>
      <c r="B73" s="309">
        <f>SUM(B62:B72)</f>
        <v>11070</v>
      </c>
      <c r="C73" s="309">
        <f>SUM(C62:C72)</f>
        <v>0</v>
      </c>
      <c r="D73" s="309"/>
      <c r="E73" s="309">
        <f>SUM(E62:E72)</f>
        <v>2900</v>
      </c>
      <c r="F73" s="309">
        <f>SUM(F62:F72)</f>
        <v>0</v>
      </c>
      <c r="G73" s="309">
        <f>SUM(G62:G72)</f>
        <v>0</v>
      </c>
      <c r="H73" s="309"/>
      <c r="I73" s="309">
        <f>SUM(I62:I72)</f>
        <v>0</v>
      </c>
      <c r="J73" s="309"/>
      <c r="K73" s="309">
        <v>0</v>
      </c>
      <c r="L73" s="309">
        <v>0</v>
      </c>
      <c r="M73" s="309"/>
      <c r="N73" s="310"/>
      <c r="O73" s="305">
        <f t="shared" si="2"/>
        <v>13970</v>
      </c>
    </row>
    <row r="74" spans="1:15" ht="21" customHeight="1" thickBot="1">
      <c r="A74" s="311" t="s">
        <v>517</v>
      </c>
      <c r="B74" s="312">
        <v>292027</v>
      </c>
      <c r="C74" s="312">
        <v>26559</v>
      </c>
      <c r="D74" s="312">
        <v>0</v>
      </c>
      <c r="E74" s="312">
        <v>28430</v>
      </c>
      <c r="F74" s="312">
        <v>447468.27</v>
      </c>
      <c r="G74" s="312">
        <v>91260</v>
      </c>
      <c r="H74" s="312">
        <v>0</v>
      </c>
      <c r="I74" s="312">
        <v>45605</v>
      </c>
      <c r="J74" s="312">
        <v>0</v>
      </c>
      <c r="K74" s="312">
        <v>79466</v>
      </c>
      <c r="L74" s="312">
        <v>0</v>
      </c>
      <c r="M74" s="312">
        <v>10800</v>
      </c>
      <c r="N74" s="312">
        <v>0</v>
      </c>
      <c r="O74" s="312">
        <f>SUM(B74:N74)</f>
        <v>1021615.27</v>
      </c>
    </row>
    <row r="75" spans="1:15" ht="21" customHeight="1" thickTop="1">
      <c r="A75" s="299" t="s">
        <v>197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1"/>
      <c r="O75" s="300"/>
    </row>
    <row r="76" spans="1:15" ht="21" customHeight="1">
      <c r="A76" s="302" t="s">
        <v>560</v>
      </c>
      <c r="B76" s="303">
        <v>9492.42</v>
      </c>
      <c r="C76" s="303"/>
      <c r="D76" s="303"/>
      <c r="E76" s="303"/>
      <c r="F76" s="303">
        <v>4590.24</v>
      </c>
      <c r="G76" s="303"/>
      <c r="H76" s="303"/>
      <c r="I76" s="303"/>
      <c r="J76" s="303"/>
      <c r="K76" s="303"/>
      <c r="L76" s="303"/>
      <c r="M76" s="303"/>
      <c r="N76" s="304"/>
      <c r="O76" s="305">
        <f aca="true" t="shared" si="3" ref="O76:O81">SUM(B76:N76)</f>
        <v>14082.66</v>
      </c>
    </row>
    <row r="77" spans="1:15" ht="21" customHeight="1">
      <c r="A77" s="302" t="s">
        <v>561</v>
      </c>
      <c r="B77" s="303">
        <v>231.12</v>
      </c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4"/>
      <c r="O77" s="305">
        <f t="shared" si="3"/>
        <v>231.12</v>
      </c>
    </row>
    <row r="78" spans="1:15" ht="21" customHeight="1">
      <c r="A78" s="302" t="s">
        <v>562</v>
      </c>
      <c r="B78" s="303">
        <v>325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4"/>
      <c r="O78" s="305">
        <f t="shared" si="3"/>
        <v>325</v>
      </c>
    </row>
    <row r="79" spans="1:15" ht="21" customHeight="1">
      <c r="A79" s="302" t="s">
        <v>563</v>
      </c>
      <c r="B79" s="303">
        <v>3745</v>
      </c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4"/>
      <c r="O79" s="305">
        <f t="shared" si="3"/>
        <v>3745</v>
      </c>
    </row>
    <row r="80" spans="1:15" ht="21" customHeight="1">
      <c r="A80" s="308" t="s">
        <v>516</v>
      </c>
      <c r="B80" s="309">
        <f>SUM(B76:B79)</f>
        <v>13793.54</v>
      </c>
      <c r="C80" s="309">
        <f>SUM(C76:C79)</f>
        <v>0</v>
      </c>
      <c r="D80" s="309"/>
      <c r="E80" s="309">
        <f>SUM(E76:E79)</f>
        <v>0</v>
      </c>
      <c r="F80" s="309">
        <f>SUM(F76:F79)</f>
        <v>4590.24</v>
      </c>
      <c r="G80" s="309">
        <f>SUM(G76:G79)</f>
        <v>0</v>
      </c>
      <c r="H80" s="309"/>
      <c r="I80" s="309">
        <f>SUM(I76:I79)</f>
        <v>0</v>
      </c>
      <c r="J80" s="309"/>
      <c r="K80" s="309">
        <v>0</v>
      </c>
      <c r="L80" s="309">
        <v>0</v>
      </c>
      <c r="M80" s="309"/>
      <c r="N80" s="310"/>
      <c r="O80" s="305">
        <f t="shared" si="3"/>
        <v>18383.78</v>
      </c>
    </row>
    <row r="81" spans="1:15" ht="21" customHeight="1" thickBot="1">
      <c r="A81" s="311" t="s">
        <v>517</v>
      </c>
      <c r="B81" s="312">
        <v>119800.14</v>
      </c>
      <c r="C81" s="312">
        <v>0</v>
      </c>
      <c r="D81" s="312">
        <v>0</v>
      </c>
      <c r="E81" s="312">
        <v>0</v>
      </c>
      <c r="F81" s="312">
        <v>29707.03</v>
      </c>
      <c r="G81" s="312">
        <v>0</v>
      </c>
      <c r="H81" s="312">
        <v>0</v>
      </c>
      <c r="I81" s="312">
        <v>0</v>
      </c>
      <c r="J81" s="312">
        <v>0</v>
      </c>
      <c r="K81" s="312">
        <v>0</v>
      </c>
      <c r="L81" s="312">
        <v>0</v>
      </c>
      <c r="M81" s="312">
        <v>0</v>
      </c>
      <c r="N81" s="312">
        <v>0</v>
      </c>
      <c r="O81" s="312">
        <f t="shared" si="3"/>
        <v>149507.16999999998</v>
      </c>
    </row>
    <row r="82" spans="1:15" ht="21" customHeight="1" thickTop="1">
      <c r="A82" s="299" t="s">
        <v>564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1"/>
      <c r="O82" s="300"/>
    </row>
    <row r="83" spans="1:15" ht="21" customHeight="1">
      <c r="A83" s="302" t="s">
        <v>565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4"/>
      <c r="O83" s="305">
        <f aca="true" t="shared" si="4" ref="O83:O88">SUM(B83:N83)</f>
        <v>0</v>
      </c>
    </row>
    <row r="84" spans="1:15" ht="21" customHeight="1">
      <c r="A84" s="302" t="s">
        <v>566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4"/>
      <c r="O84" s="305">
        <f t="shared" si="4"/>
        <v>0</v>
      </c>
    </row>
    <row r="85" spans="1:15" ht="21" customHeight="1">
      <c r="A85" s="302" t="s">
        <v>567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4"/>
      <c r="O85" s="305">
        <f t="shared" si="4"/>
        <v>0</v>
      </c>
    </row>
    <row r="86" spans="1:15" ht="21" customHeight="1">
      <c r="A86" s="302" t="s">
        <v>568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4"/>
      <c r="O86" s="305">
        <f t="shared" si="4"/>
        <v>0</v>
      </c>
    </row>
    <row r="87" spans="1:15" ht="21" customHeight="1">
      <c r="A87" s="308" t="s">
        <v>516</v>
      </c>
      <c r="B87" s="309">
        <f>SUM(B83:B86)</f>
        <v>0</v>
      </c>
      <c r="C87" s="309">
        <f>SUM(C83:C86)</f>
        <v>0</v>
      </c>
      <c r="D87" s="309"/>
      <c r="E87" s="309">
        <f>SUM(E83:E86)</f>
        <v>0</v>
      </c>
      <c r="F87" s="309">
        <f>SUM(F83:F86)</f>
        <v>0</v>
      </c>
      <c r="G87" s="309">
        <f>SUM(G83:G86)</f>
        <v>0</v>
      </c>
      <c r="H87" s="309"/>
      <c r="I87" s="309">
        <f>SUM(I83:I86)</f>
        <v>0</v>
      </c>
      <c r="J87" s="309"/>
      <c r="K87" s="309">
        <v>0</v>
      </c>
      <c r="L87" s="309">
        <v>0</v>
      </c>
      <c r="M87" s="309"/>
      <c r="N87" s="310"/>
      <c r="O87" s="305">
        <f t="shared" si="4"/>
        <v>0</v>
      </c>
    </row>
    <row r="88" spans="1:15" ht="21" customHeight="1" thickBot="1">
      <c r="A88" s="311" t="s">
        <v>517</v>
      </c>
      <c r="B88" s="312">
        <v>88500</v>
      </c>
      <c r="C88" s="312">
        <v>55500</v>
      </c>
      <c r="D88" s="312">
        <v>0</v>
      </c>
      <c r="E88" s="312">
        <v>7100</v>
      </c>
      <c r="F88" s="312">
        <v>0</v>
      </c>
      <c r="G88" s="312">
        <v>0</v>
      </c>
      <c r="H88" s="312">
        <v>0</v>
      </c>
      <c r="I88" s="312">
        <v>14000</v>
      </c>
      <c r="J88" s="312">
        <v>0</v>
      </c>
      <c r="K88" s="312">
        <v>0</v>
      </c>
      <c r="L88" s="312">
        <v>0</v>
      </c>
      <c r="M88" s="312">
        <v>0</v>
      </c>
      <c r="N88" s="312">
        <v>0</v>
      </c>
      <c r="O88" s="312">
        <f t="shared" si="4"/>
        <v>165100</v>
      </c>
    </row>
    <row r="89" spans="1:16" ht="21" customHeight="1" thickTop="1">
      <c r="A89" s="317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09"/>
    </row>
    <row r="90" spans="1:16" ht="21" customHeight="1">
      <c r="A90" s="292" t="s">
        <v>494</v>
      </c>
      <c r="B90" s="378" t="s">
        <v>496</v>
      </c>
      <c r="C90" s="379"/>
      <c r="D90" s="295" t="s">
        <v>497</v>
      </c>
      <c r="E90" s="378" t="s">
        <v>498</v>
      </c>
      <c r="F90" s="379"/>
      <c r="G90" s="293" t="s">
        <v>499</v>
      </c>
      <c r="H90" s="293" t="s">
        <v>500</v>
      </c>
      <c r="I90" s="293" t="s">
        <v>501</v>
      </c>
      <c r="J90" s="378" t="s">
        <v>502</v>
      </c>
      <c r="K90" s="379"/>
      <c r="L90" s="294" t="s">
        <v>503</v>
      </c>
      <c r="M90" s="296" t="s">
        <v>504</v>
      </c>
      <c r="N90" s="293" t="s">
        <v>529</v>
      </c>
      <c r="O90" s="380" t="s">
        <v>46</v>
      </c>
      <c r="P90" s="109"/>
    </row>
    <row r="91" spans="1:16" ht="21" customHeight="1">
      <c r="A91" s="297" t="s">
        <v>530</v>
      </c>
      <c r="B91" s="296" t="s">
        <v>505</v>
      </c>
      <c r="C91" s="296" t="s">
        <v>506</v>
      </c>
      <c r="D91" s="296" t="s">
        <v>507</v>
      </c>
      <c r="E91" s="296" t="s">
        <v>508</v>
      </c>
      <c r="F91" s="296" t="s">
        <v>509</v>
      </c>
      <c r="G91" s="296" t="s">
        <v>510</v>
      </c>
      <c r="H91" s="296" t="s">
        <v>511</v>
      </c>
      <c r="I91" s="298" t="s">
        <v>512</v>
      </c>
      <c r="J91" s="296" t="s">
        <v>528</v>
      </c>
      <c r="K91" s="296" t="s">
        <v>513</v>
      </c>
      <c r="L91" s="296" t="s">
        <v>514</v>
      </c>
      <c r="M91" s="296" t="s">
        <v>515</v>
      </c>
      <c r="N91" s="293" t="s">
        <v>495</v>
      </c>
      <c r="O91" s="380"/>
      <c r="P91" s="109"/>
    </row>
    <row r="92" spans="1:15" ht="21.75">
      <c r="A92" s="318" t="s">
        <v>569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4"/>
      <c r="O92" s="303"/>
    </row>
    <row r="93" spans="1:15" ht="21.75">
      <c r="A93" s="302" t="s">
        <v>570</v>
      </c>
      <c r="B93" s="303"/>
      <c r="C93" s="303"/>
      <c r="D93" s="303"/>
      <c r="E93" s="303"/>
      <c r="F93" s="303"/>
      <c r="G93" s="303"/>
      <c r="H93" s="303"/>
      <c r="I93" s="303">
        <v>193500</v>
      </c>
      <c r="J93" s="303"/>
      <c r="K93" s="303"/>
      <c r="L93" s="303"/>
      <c r="M93" s="303"/>
      <c r="N93" s="304"/>
      <c r="O93" s="305">
        <f>SUM(B93:N93)</f>
        <v>193500</v>
      </c>
    </row>
    <row r="94" spans="1:15" ht="21.75">
      <c r="A94" s="302"/>
      <c r="B94" s="303"/>
      <c r="C94" s="303"/>
      <c r="D94" s="303"/>
      <c r="E94" s="303"/>
      <c r="F94" s="303"/>
      <c r="G94" s="303"/>
      <c r="H94" s="303"/>
      <c r="I94" s="303">
        <v>0</v>
      </c>
      <c r="J94" s="303"/>
      <c r="K94" s="303"/>
      <c r="L94" s="303"/>
      <c r="M94" s="303"/>
      <c r="N94" s="304"/>
      <c r="O94" s="305">
        <f>SUM(B94:N94)</f>
        <v>0</v>
      </c>
    </row>
    <row r="95" spans="1:15" ht="21.75">
      <c r="A95" s="308" t="s">
        <v>516</v>
      </c>
      <c r="B95" s="309">
        <f>SUM(B93:B94)</f>
        <v>0</v>
      </c>
      <c r="C95" s="309">
        <f>SUM(C93:C94)</f>
        <v>0</v>
      </c>
      <c r="D95" s="309"/>
      <c r="E95" s="309">
        <f>SUM(E93:E94)</f>
        <v>0</v>
      </c>
      <c r="F95" s="309">
        <f>SUM(F93:F94)</f>
        <v>0</v>
      </c>
      <c r="G95" s="309">
        <f>SUM(G93:G94)</f>
        <v>0</v>
      </c>
      <c r="H95" s="309"/>
      <c r="I95" s="309">
        <f>SUM(I93:I94)</f>
        <v>193500</v>
      </c>
      <c r="J95" s="309"/>
      <c r="K95" s="309">
        <v>0</v>
      </c>
      <c r="L95" s="309">
        <v>0</v>
      </c>
      <c r="M95" s="309"/>
      <c r="N95" s="310"/>
      <c r="O95" s="305">
        <f>SUM(B95:N95)</f>
        <v>193500</v>
      </c>
    </row>
    <row r="96" spans="1:15" ht="22.5" thickBot="1">
      <c r="A96" s="311" t="s">
        <v>517</v>
      </c>
      <c r="B96" s="312">
        <v>0</v>
      </c>
      <c r="C96" s="312"/>
      <c r="D96" s="312">
        <v>0</v>
      </c>
      <c r="E96" s="312"/>
      <c r="F96" s="312">
        <v>0</v>
      </c>
      <c r="G96" s="312">
        <v>0</v>
      </c>
      <c r="H96" s="312">
        <v>0</v>
      </c>
      <c r="I96" s="312">
        <v>394500</v>
      </c>
      <c r="J96" s="312">
        <v>0</v>
      </c>
      <c r="K96" s="312">
        <v>0</v>
      </c>
      <c r="L96" s="312">
        <v>0</v>
      </c>
      <c r="M96" s="312">
        <v>0</v>
      </c>
      <c r="N96" s="312">
        <v>0</v>
      </c>
      <c r="O96" s="312">
        <f>SUM(B96:N96)</f>
        <v>394500</v>
      </c>
    </row>
    <row r="97" spans="1:15" ht="22.5" thickTop="1">
      <c r="A97" s="299" t="s">
        <v>571</v>
      </c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1"/>
      <c r="O97" s="300"/>
    </row>
    <row r="98" spans="1:15" ht="21.75">
      <c r="A98" s="302" t="s">
        <v>572</v>
      </c>
      <c r="B98" s="303"/>
      <c r="C98" s="303"/>
      <c r="D98" s="303"/>
      <c r="E98" s="303"/>
      <c r="F98" s="303">
        <v>232000</v>
      </c>
      <c r="G98" s="303"/>
      <c r="H98" s="303"/>
      <c r="I98" s="303">
        <v>0</v>
      </c>
      <c r="J98" s="303"/>
      <c r="K98" s="303"/>
      <c r="L98" s="303"/>
      <c r="M98" s="303"/>
      <c r="N98" s="304"/>
      <c r="O98" s="305">
        <f>SUM(B98:N98)</f>
        <v>232000</v>
      </c>
    </row>
    <row r="99" spans="1:15" ht="21.75">
      <c r="A99" s="302" t="s">
        <v>573</v>
      </c>
      <c r="B99" s="303"/>
      <c r="C99" s="303"/>
      <c r="D99" s="303"/>
      <c r="E99" s="303"/>
      <c r="F99" s="303"/>
      <c r="G99" s="303"/>
      <c r="H99" s="303"/>
      <c r="I99" s="303">
        <v>0</v>
      </c>
      <c r="J99" s="303"/>
      <c r="K99" s="303"/>
      <c r="L99" s="303"/>
      <c r="M99" s="303"/>
      <c r="N99" s="304"/>
      <c r="O99" s="305">
        <f>SUM(B99:N99)</f>
        <v>0</v>
      </c>
    </row>
    <row r="100" spans="1:15" ht="21.75">
      <c r="A100" s="308" t="s">
        <v>516</v>
      </c>
      <c r="B100" s="309">
        <f>SUM(B98:B99)</f>
        <v>0</v>
      </c>
      <c r="C100" s="309">
        <f>SUM(C98:C99)</f>
        <v>0</v>
      </c>
      <c r="D100" s="309"/>
      <c r="E100" s="309">
        <f>SUM(E98:E99)</f>
        <v>0</v>
      </c>
      <c r="F100" s="309">
        <f>SUM(F98:F99)</f>
        <v>232000</v>
      </c>
      <c r="G100" s="309">
        <f>SUM(G98:G99)</f>
        <v>0</v>
      </c>
      <c r="H100" s="309"/>
      <c r="I100" s="309">
        <f>SUM(I98:I99)</f>
        <v>0</v>
      </c>
      <c r="J100" s="309"/>
      <c r="K100" s="309">
        <v>0</v>
      </c>
      <c r="L100" s="309">
        <v>0</v>
      </c>
      <c r="M100" s="309"/>
      <c r="N100" s="310"/>
      <c r="O100" s="305">
        <f>SUM(B100:N100)</f>
        <v>232000</v>
      </c>
    </row>
    <row r="101" spans="1:15" ht="21.75">
      <c r="A101" s="313" t="s">
        <v>517</v>
      </c>
      <c r="B101" s="314">
        <v>20000</v>
      </c>
      <c r="C101" s="314"/>
      <c r="D101" s="314">
        <v>0</v>
      </c>
      <c r="E101" s="314"/>
      <c r="F101" s="314">
        <v>968000</v>
      </c>
      <c r="G101" s="314">
        <v>0</v>
      </c>
      <c r="H101" s="314">
        <v>0</v>
      </c>
      <c r="I101" s="314">
        <v>146571.73</v>
      </c>
      <c r="J101" s="314">
        <v>0</v>
      </c>
      <c r="K101" s="314">
        <v>0</v>
      </c>
      <c r="L101" s="314">
        <v>28000</v>
      </c>
      <c r="M101" s="314">
        <v>0</v>
      </c>
      <c r="N101" s="314">
        <v>0</v>
      </c>
      <c r="O101" s="314">
        <f>SUM(B101:N101)</f>
        <v>1162571.73</v>
      </c>
    </row>
    <row r="102" spans="1:15" ht="21.75">
      <c r="A102" s="315" t="s">
        <v>574</v>
      </c>
      <c r="B102" s="266">
        <v>654818.54</v>
      </c>
      <c r="C102" s="266">
        <v>73025</v>
      </c>
      <c r="D102" s="266"/>
      <c r="E102" s="266">
        <v>100482</v>
      </c>
      <c r="F102" s="266">
        <v>310930.24</v>
      </c>
      <c r="G102" s="266">
        <v>61200</v>
      </c>
      <c r="H102" s="266"/>
      <c r="I102" s="266">
        <v>226645</v>
      </c>
      <c r="J102" s="266"/>
      <c r="K102" s="266">
        <v>32500</v>
      </c>
      <c r="L102" s="266">
        <v>70320</v>
      </c>
      <c r="M102" s="266"/>
      <c r="N102" s="266">
        <v>440253</v>
      </c>
      <c r="O102" s="266">
        <v>1970173.78</v>
      </c>
    </row>
    <row r="103" spans="1:15" ht="22.5" thickBot="1">
      <c r="A103" s="316" t="s">
        <v>575</v>
      </c>
      <c r="B103" s="312">
        <v>6978143.81</v>
      </c>
      <c r="C103" s="312">
        <v>808324.1</v>
      </c>
      <c r="D103" s="312">
        <v>27155</v>
      </c>
      <c r="E103" s="312">
        <v>784545</v>
      </c>
      <c r="F103" s="312">
        <v>1855202.3</v>
      </c>
      <c r="G103" s="312">
        <v>800280</v>
      </c>
      <c r="H103" s="312">
        <v>48000</v>
      </c>
      <c r="I103" s="312">
        <v>1256935.73</v>
      </c>
      <c r="J103" s="319">
        <v>90000</v>
      </c>
      <c r="K103" s="312">
        <v>133166</v>
      </c>
      <c r="L103" s="312">
        <v>201820</v>
      </c>
      <c r="M103" s="312">
        <v>10800</v>
      </c>
      <c r="N103" s="312">
        <v>5293855</v>
      </c>
      <c r="O103" s="319">
        <v>18288226.94</v>
      </c>
    </row>
    <row r="104" ht="22.5" thickTop="1"/>
    <row r="119" spans="1:15" ht="21.75">
      <c r="A119" s="377" t="s">
        <v>132</v>
      </c>
      <c r="B119" s="377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</row>
    <row r="120" spans="1:15" ht="21.75">
      <c r="A120" s="377" t="s">
        <v>518</v>
      </c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</row>
    <row r="121" spans="1:15" ht="21.75">
      <c r="A121" s="381" t="s">
        <v>599</v>
      </c>
      <c r="B121" s="381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</row>
    <row r="122" spans="1:15" ht="21.75">
      <c r="A122" s="292" t="s">
        <v>494</v>
      </c>
      <c r="B122" s="378" t="s">
        <v>496</v>
      </c>
      <c r="C122" s="379"/>
      <c r="D122" s="295" t="s">
        <v>497</v>
      </c>
      <c r="E122" s="378" t="s">
        <v>498</v>
      </c>
      <c r="F122" s="379"/>
      <c r="G122" s="293" t="s">
        <v>499</v>
      </c>
      <c r="H122" s="293" t="s">
        <v>500</v>
      </c>
      <c r="I122" s="293" t="s">
        <v>501</v>
      </c>
      <c r="J122" s="378" t="s">
        <v>502</v>
      </c>
      <c r="K122" s="379"/>
      <c r="L122" s="294" t="s">
        <v>503</v>
      </c>
      <c r="M122" s="296" t="s">
        <v>504</v>
      </c>
      <c r="N122" s="293" t="s">
        <v>529</v>
      </c>
      <c r="O122" s="380" t="s">
        <v>46</v>
      </c>
    </row>
    <row r="123" spans="1:15" ht="21.75">
      <c r="A123" s="297" t="s">
        <v>530</v>
      </c>
      <c r="B123" s="296" t="s">
        <v>505</v>
      </c>
      <c r="C123" s="296" t="s">
        <v>506</v>
      </c>
      <c r="D123" s="296" t="s">
        <v>507</v>
      </c>
      <c r="E123" s="296" t="s">
        <v>508</v>
      </c>
      <c r="F123" s="296" t="s">
        <v>509</v>
      </c>
      <c r="G123" s="296" t="s">
        <v>510</v>
      </c>
      <c r="H123" s="296" t="s">
        <v>511</v>
      </c>
      <c r="I123" s="298" t="s">
        <v>512</v>
      </c>
      <c r="J123" s="296" t="s">
        <v>528</v>
      </c>
      <c r="K123" s="296" t="s">
        <v>513</v>
      </c>
      <c r="L123" s="296" t="s">
        <v>514</v>
      </c>
      <c r="M123" s="296" t="s">
        <v>515</v>
      </c>
      <c r="N123" s="293" t="s">
        <v>495</v>
      </c>
      <c r="O123" s="380"/>
    </row>
    <row r="124" spans="1:15" ht="21.75">
      <c r="A124" s="299" t="s">
        <v>520</v>
      </c>
      <c r="B124" s="300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1"/>
      <c r="O124" s="300"/>
    </row>
    <row r="125" spans="1:15" ht="21.75">
      <c r="A125" s="302" t="s">
        <v>521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4">
        <v>7853</v>
      </c>
      <c r="O125" s="305">
        <f>SUM(B125:N125)</f>
        <v>7853</v>
      </c>
    </row>
    <row r="126" spans="1:15" ht="21.75">
      <c r="A126" s="302" t="s">
        <v>522</v>
      </c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4">
        <v>358100</v>
      </c>
      <c r="O126" s="305">
        <f aca="true" t="shared" si="5" ref="O126:O131">SUM(B126:N126)</f>
        <v>358100</v>
      </c>
    </row>
    <row r="127" spans="1:15" ht="21.75">
      <c r="A127" s="302" t="s">
        <v>523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4">
        <v>71200</v>
      </c>
      <c r="O127" s="305">
        <f t="shared" si="5"/>
        <v>71200</v>
      </c>
    </row>
    <row r="128" spans="1:15" ht="21.75">
      <c r="A128" s="302" t="s">
        <v>524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6"/>
      <c r="M128" s="306"/>
      <c r="N128" s="307">
        <v>2500</v>
      </c>
      <c r="O128" s="305">
        <f t="shared" si="5"/>
        <v>2500</v>
      </c>
    </row>
    <row r="129" spans="1:15" ht="21.75">
      <c r="A129" s="302" t="s">
        <v>525</v>
      </c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7">
        <v>0</v>
      </c>
      <c r="O129" s="305">
        <f t="shared" si="5"/>
        <v>0</v>
      </c>
    </row>
    <row r="130" spans="1:15" ht="21.75">
      <c r="A130" s="302" t="s">
        <v>526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7">
        <v>0</v>
      </c>
      <c r="O130" s="305">
        <f t="shared" si="5"/>
        <v>0</v>
      </c>
    </row>
    <row r="131" spans="1:15" ht="21.75">
      <c r="A131" s="302" t="s">
        <v>527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7">
        <v>0</v>
      </c>
      <c r="O131" s="305">
        <f t="shared" si="5"/>
        <v>0</v>
      </c>
    </row>
    <row r="132" spans="1:15" ht="21.75">
      <c r="A132" s="308" t="s">
        <v>516</v>
      </c>
      <c r="B132" s="309">
        <v>0</v>
      </c>
      <c r="C132" s="309">
        <v>0</v>
      </c>
      <c r="D132" s="309">
        <v>0</v>
      </c>
      <c r="E132" s="309">
        <v>0</v>
      </c>
      <c r="F132" s="309">
        <v>0</v>
      </c>
      <c r="G132" s="309">
        <v>0</v>
      </c>
      <c r="H132" s="309">
        <v>0</v>
      </c>
      <c r="I132" s="309">
        <v>0</v>
      </c>
      <c r="J132" s="309">
        <v>0</v>
      </c>
      <c r="K132" s="309">
        <v>0</v>
      </c>
      <c r="L132" s="309">
        <v>0</v>
      </c>
      <c r="M132" s="309">
        <v>0</v>
      </c>
      <c r="N132" s="310">
        <f>SUM(N125:N131)</f>
        <v>439653</v>
      </c>
      <c r="O132" s="310">
        <f>SUM(O125:O131)</f>
        <v>439653</v>
      </c>
    </row>
    <row r="133" spans="1:15" ht="22.5" thickBot="1">
      <c r="A133" s="311" t="s">
        <v>517</v>
      </c>
      <c r="B133" s="312">
        <v>0</v>
      </c>
      <c r="C133" s="312">
        <v>0</v>
      </c>
      <c r="D133" s="312">
        <v>0</v>
      </c>
      <c r="E133" s="312">
        <v>0</v>
      </c>
      <c r="F133" s="312">
        <v>0</v>
      </c>
      <c r="G133" s="312">
        <v>0</v>
      </c>
      <c r="H133" s="312">
        <v>0</v>
      </c>
      <c r="I133" s="312">
        <v>0</v>
      </c>
      <c r="J133" s="312">
        <v>0</v>
      </c>
      <c r="K133" s="312">
        <v>0</v>
      </c>
      <c r="L133" s="312">
        <v>0</v>
      </c>
      <c r="M133" s="312">
        <v>0</v>
      </c>
      <c r="N133" s="312">
        <f>5293855+439653</f>
        <v>5733508</v>
      </c>
      <c r="O133" s="312">
        <f>N133</f>
        <v>5733508</v>
      </c>
    </row>
    <row r="134" spans="1:15" ht="22.5" thickTop="1">
      <c r="A134" s="299" t="s">
        <v>193</v>
      </c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1"/>
      <c r="O134" s="300"/>
    </row>
    <row r="135" spans="1:15" ht="21.75">
      <c r="A135" s="302" t="s">
        <v>531</v>
      </c>
      <c r="B135" s="303">
        <v>42840</v>
      </c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4"/>
      <c r="O135" s="305">
        <f>SUM(B135:N135)</f>
        <v>42840</v>
      </c>
    </row>
    <row r="136" spans="1:15" ht="21.75">
      <c r="A136" s="302" t="s">
        <v>532</v>
      </c>
      <c r="B136" s="303">
        <v>3510</v>
      </c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4"/>
      <c r="O136" s="305">
        <f>SUM(B136:N136)</f>
        <v>3510</v>
      </c>
    </row>
    <row r="137" spans="1:15" ht="21.75">
      <c r="A137" s="302" t="s">
        <v>533</v>
      </c>
      <c r="B137" s="303">
        <v>3510</v>
      </c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4"/>
      <c r="O137" s="305">
        <f>SUM(B137:N137)</f>
        <v>3510</v>
      </c>
    </row>
    <row r="138" spans="1:15" ht="21.75">
      <c r="A138" s="302" t="s">
        <v>534</v>
      </c>
      <c r="B138" s="303">
        <v>7200</v>
      </c>
      <c r="C138" s="303"/>
      <c r="D138" s="303"/>
      <c r="E138" s="303"/>
      <c r="F138" s="303"/>
      <c r="G138" s="303"/>
      <c r="H138" s="303"/>
      <c r="I138" s="303"/>
      <c r="J138" s="303"/>
      <c r="K138" s="303"/>
      <c r="L138" s="306"/>
      <c r="M138" s="306"/>
      <c r="N138" s="307"/>
      <c r="O138" s="305">
        <f>SUM(B138:N138)</f>
        <v>7200</v>
      </c>
    </row>
    <row r="139" spans="1:15" ht="21.75">
      <c r="A139" s="302" t="s">
        <v>535</v>
      </c>
      <c r="B139" s="306">
        <v>150000</v>
      </c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7"/>
      <c r="O139" s="305">
        <f>SUM(B139:N139)</f>
        <v>150000</v>
      </c>
    </row>
    <row r="140" spans="1:15" ht="21.75">
      <c r="A140" s="302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7"/>
      <c r="O140" s="305"/>
    </row>
    <row r="141" spans="1:15" ht="21.75">
      <c r="A141" s="308" t="s">
        <v>516</v>
      </c>
      <c r="B141" s="309">
        <f>SUM(B135:B140)</f>
        <v>207060</v>
      </c>
      <c r="C141" s="309">
        <v>0</v>
      </c>
      <c r="D141" s="309">
        <v>0</v>
      </c>
      <c r="E141" s="309">
        <v>0</v>
      </c>
      <c r="F141" s="309">
        <v>0</v>
      </c>
      <c r="G141" s="309">
        <v>0</v>
      </c>
      <c r="H141" s="309">
        <v>0</v>
      </c>
      <c r="I141" s="309">
        <v>0</v>
      </c>
      <c r="J141" s="309">
        <v>0</v>
      </c>
      <c r="K141" s="309">
        <v>0</v>
      </c>
      <c r="L141" s="309">
        <v>0</v>
      </c>
      <c r="M141" s="309">
        <v>0</v>
      </c>
      <c r="N141" s="309">
        <v>0</v>
      </c>
      <c r="O141" s="310">
        <f>SUM(O135:O140)</f>
        <v>207060</v>
      </c>
    </row>
    <row r="142" spans="1:15" ht="22.5" thickBot="1">
      <c r="A142" s="311" t="s">
        <v>517</v>
      </c>
      <c r="B142" s="312">
        <v>2277660</v>
      </c>
      <c r="C142" s="312">
        <v>0</v>
      </c>
      <c r="D142" s="312">
        <v>0</v>
      </c>
      <c r="E142" s="312">
        <v>0</v>
      </c>
      <c r="F142" s="312">
        <v>0</v>
      </c>
      <c r="G142" s="312">
        <v>0</v>
      </c>
      <c r="H142" s="312">
        <v>0</v>
      </c>
      <c r="I142" s="312">
        <v>0</v>
      </c>
      <c r="J142" s="312">
        <v>0</v>
      </c>
      <c r="K142" s="312">
        <v>0</v>
      </c>
      <c r="L142" s="312">
        <v>0</v>
      </c>
      <c r="M142" s="312">
        <v>0</v>
      </c>
      <c r="N142" s="312">
        <v>0</v>
      </c>
      <c r="O142" s="312">
        <f>SUM(B142:N142)</f>
        <v>2277660</v>
      </c>
    </row>
    <row r="143" ht="22.5" thickTop="1"/>
    <row r="147" spans="1:15" ht="21.75">
      <c r="A147" s="377" t="s">
        <v>132</v>
      </c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</row>
    <row r="148" spans="1:15" ht="21.75">
      <c r="A148" s="377" t="s">
        <v>518</v>
      </c>
      <c r="B148" s="377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</row>
    <row r="149" spans="1:15" ht="21.75">
      <c r="A149" s="381" t="s">
        <v>599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</row>
    <row r="150" spans="1:15" ht="21.75">
      <c r="A150" s="292" t="s">
        <v>494</v>
      </c>
      <c r="B150" s="378" t="s">
        <v>496</v>
      </c>
      <c r="C150" s="379"/>
      <c r="D150" s="295" t="s">
        <v>497</v>
      </c>
      <c r="E150" s="378" t="s">
        <v>498</v>
      </c>
      <c r="F150" s="379"/>
      <c r="G150" s="293" t="s">
        <v>499</v>
      </c>
      <c r="H150" s="293" t="s">
        <v>500</v>
      </c>
      <c r="I150" s="293" t="s">
        <v>501</v>
      </c>
      <c r="J150" s="378" t="s">
        <v>502</v>
      </c>
      <c r="K150" s="379"/>
      <c r="L150" s="294" t="s">
        <v>503</v>
      </c>
      <c r="M150" s="296" t="s">
        <v>504</v>
      </c>
      <c r="N150" s="293" t="s">
        <v>529</v>
      </c>
      <c r="O150" s="380" t="s">
        <v>46</v>
      </c>
    </row>
    <row r="151" spans="1:15" ht="21.75">
      <c r="A151" s="297" t="s">
        <v>530</v>
      </c>
      <c r="B151" s="296" t="s">
        <v>505</v>
      </c>
      <c r="C151" s="296" t="s">
        <v>506</v>
      </c>
      <c r="D151" s="296" t="s">
        <v>507</v>
      </c>
      <c r="E151" s="296" t="s">
        <v>508</v>
      </c>
      <c r="F151" s="296" t="s">
        <v>509</v>
      </c>
      <c r="G151" s="296" t="s">
        <v>510</v>
      </c>
      <c r="H151" s="296" t="s">
        <v>511</v>
      </c>
      <c r="I151" s="298" t="s">
        <v>512</v>
      </c>
      <c r="J151" s="296" t="s">
        <v>528</v>
      </c>
      <c r="K151" s="296" t="s">
        <v>513</v>
      </c>
      <c r="L151" s="296" t="s">
        <v>514</v>
      </c>
      <c r="M151" s="296" t="s">
        <v>515</v>
      </c>
      <c r="N151" s="293" t="s">
        <v>495</v>
      </c>
      <c r="O151" s="380"/>
    </row>
    <row r="152" spans="1:15" ht="21.75">
      <c r="A152" s="299" t="s">
        <v>194</v>
      </c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1"/>
      <c r="O152" s="300"/>
    </row>
    <row r="153" spans="1:15" ht="21.75">
      <c r="A153" s="302" t="s">
        <v>536</v>
      </c>
      <c r="B153" s="303">
        <v>195360</v>
      </c>
      <c r="C153" s="303">
        <v>43860</v>
      </c>
      <c r="D153" s="303"/>
      <c r="E153" s="303">
        <v>36180</v>
      </c>
      <c r="F153" s="303"/>
      <c r="G153" s="303"/>
      <c r="H153" s="303"/>
      <c r="I153" s="303">
        <v>51200</v>
      </c>
      <c r="J153" s="303"/>
      <c r="K153" s="303"/>
      <c r="L153" s="303"/>
      <c r="M153" s="303"/>
      <c r="N153" s="304"/>
      <c r="O153" s="305">
        <f>SUM(B153:N153)</f>
        <v>326600</v>
      </c>
    </row>
    <row r="154" spans="1:15" ht="21.75">
      <c r="A154" s="302" t="s">
        <v>537</v>
      </c>
      <c r="B154" s="303">
        <v>930</v>
      </c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4"/>
      <c r="O154" s="305">
        <f aca="true" t="shared" si="6" ref="O154:O159">SUM(B154:N154)</f>
        <v>930</v>
      </c>
    </row>
    <row r="155" spans="1:15" ht="21.75">
      <c r="A155" s="302" t="s">
        <v>538</v>
      </c>
      <c r="B155" s="303">
        <v>21000</v>
      </c>
      <c r="C155" s="303"/>
      <c r="D155" s="303"/>
      <c r="E155" s="303"/>
      <c r="F155" s="303"/>
      <c r="G155" s="303"/>
      <c r="H155" s="303"/>
      <c r="I155" s="303">
        <v>3500</v>
      </c>
      <c r="J155" s="303"/>
      <c r="K155" s="303"/>
      <c r="L155" s="303"/>
      <c r="M155" s="303"/>
      <c r="N155" s="304"/>
      <c r="O155" s="305">
        <f t="shared" si="6"/>
        <v>24500</v>
      </c>
    </row>
    <row r="156" spans="1:15" ht="21.75">
      <c r="A156" s="302" t="s">
        <v>539</v>
      </c>
      <c r="B156" s="303">
        <v>13760</v>
      </c>
      <c r="C156" s="303"/>
      <c r="D156" s="303"/>
      <c r="E156" s="303"/>
      <c r="F156" s="303"/>
      <c r="G156" s="303"/>
      <c r="H156" s="303"/>
      <c r="I156" s="303"/>
      <c r="J156" s="303"/>
      <c r="K156" s="303"/>
      <c r="L156" s="306"/>
      <c r="M156" s="306"/>
      <c r="N156" s="307"/>
      <c r="O156" s="305">
        <f t="shared" si="6"/>
        <v>13760</v>
      </c>
    </row>
    <row r="157" spans="1:15" ht="21.75">
      <c r="A157" s="302" t="s">
        <v>540</v>
      </c>
      <c r="B157" s="306">
        <v>88710</v>
      </c>
      <c r="C157" s="306">
        <v>22310</v>
      </c>
      <c r="D157" s="306"/>
      <c r="E157" s="306">
        <v>18000</v>
      </c>
      <c r="F157" s="306"/>
      <c r="G157" s="306"/>
      <c r="H157" s="306"/>
      <c r="I157" s="306">
        <v>11600</v>
      </c>
      <c r="J157" s="306"/>
      <c r="K157" s="306"/>
      <c r="L157" s="306"/>
      <c r="M157" s="306"/>
      <c r="N157" s="307"/>
      <c r="O157" s="305">
        <f t="shared" si="6"/>
        <v>140620</v>
      </c>
    </row>
    <row r="158" spans="1:15" ht="21.75">
      <c r="A158" s="302" t="s">
        <v>541</v>
      </c>
      <c r="B158" s="306">
        <v>11585</v>
      </c>
      <c r="C158" s="306">
        <v>3985</v>
      </c>
      <c r="D158" s="306"/>
      <c r="E158" s="306">
        <v>2000</v>
      </c>
      <c r="F158" s="306"/>
      <c r="G158" s="306"/>
      <c r="H158" s="306"/>
      <c r="I158" s="306">
        <v>1685</v>
      </c>
      <c r="J158" s="306"/>
      <c r="K158" s="306"/>
      <c r="L158" s="306"/>
      <c r="M158" s="306"/>
      <c r="N158" s="307"/>
      <c r="O158" s="305">
        <f t="shared" si="6"/>
        <v>19255</v>
      </c>
    </row>
    <row r="159" spans="1:15" ht="21.75">
      <c r="A159" s="302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7"/>
      <c r="O159" s="305">
        <f t="shared" si="6"/>
        <v>0</v>
      </c>
    </row>
    <row r="160" spans="1:15" ht="21.75">
      <c r="A160" s="308" t="s">
        <v>516</v>
      </c>
      <c r="B160" s="309">
        <f>SUM(B153:B159)</f>
        <v>331345</v>
      </c>
      <c r="C160" s="309">
        <f>SUM(C153:C159)</f>
        <v>70155</v>
      </c>
      <c r="D160" s="309"/>
      <c r="E160" s="309">
        <f>SUM(E153:E159)</f>
        <v>56180</v>
      </c>
      <c r="F160" s="309"/>
      <c r="G160" s="309"/>
      <c r="H160" s="309"/>
      <c r="I160" s="309">
        <f>SUM(I153:I159)</f>
        <v>67985</v>
      </c>
      <c r="J160" s="309"/>
      <c r="K160" s="309"/>
      <c r="L160" s="309"/>
      <c r="M160" s="309"/>
      <c r="N160" s="310"/>
      <c r="O160" s="310">
        <f>SUM(O153:O159)</f>
        <v>525665</v>
      </c>
    </row>
    <row r="161" spans="1:15" ht="22.5" thickBot="1">
      <c r="A161" s="311" t="s">
        <v>517</v>
      </c>
      <c r="B161" s="312">
        <f>3181400+331345</f>
        <v>3512745</v>
      </c>
      <c r="C161" s="312">
        <f>696078+70155</f>
        <v>766233</v>
      </c>
      <c r="D161" s="312">
        <v>0</v>
      </c>
      <c r="E161" s="312">
        <f>585628+56180</f>
        <v>641808</v>
      </c>
      <c r="F161" s="312">
        <v>0</v>
      </c>
      <c r="G161" s="312">
        <v>0</v>
      </c>
      <c r="H161" s="312">
        <v>0</v>
      </c>
      <c r="I161" s="312">
        <f>533018+67985</f>
        <v>601003</v>
      </c>
      <c r="J161" s="312">
        <v>0</v>
      </c>
      <c r="K161" s="312">
        <v>0</v>
      </c>
      <c r="L161" s="312">
        <v>0</v>
      </c>
      <c r="M161" s="312">
        <v>0</v>
      </c>
      <c r="N161" s="312">
        <v>0</v>
      </c>
      <c r="O161" s="312">
        <f>SUM(B161:N161)</f>
        <v>5521789</v>
      </c>
    </row>
    <row r="162" spans="1:15" ht="22.5" thickTop="1">
      <c r="A162" s="299" t="s">
        <v>191</v>
      </c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1"/>
      <c r="O162" s="300"/>
    </row>
    <row r="163" spans="1:15" ht="21.75">
      <c r="A163" s="302" t="s">
        <v>542</v>
      </c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4"/>
      <c r="O163" s="305">
        <f>SUM(B163:N163)</f>
        <v>0</v>
      </c>
    </row>
    <row r="164" spans="1:15" ht="21.75">
      <c r="A164" s="302" t="s">
        <v>543</v>
      </c>
      <c r="B164" s="303">
        <v>12700</v>
      </c>
      <c r="C164" s="303"/>
      <c r="D164" s="303"/>
      <c r="E164" s="303"/>
      <c r="F164" s="303"/>
      <c r="G164" s="303"/>
      <c r="H164" s="303"/>
      <c r="I164" s="303">
        <v>2500</v>
      </c>
      <c r="J164" s="303"/>
      <c r="K164" s="303"/>
      <c r="L164" s="303"/>
      <c r="M164" s="303"/>
      <c r="N164" s="304"/>
      <c r="O164" s="305">
        <f>SUM(B164:N164)</f>
        <v>15200</v>
      </c>
    </row>
    <row r="165" spans="1:15" ht="21.75">
      <c r="A165" s="302" t="s">
        <v>544</v>
      </c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4"/>
      <c r="O165" s="305">
        <f>SUM(B165:N165)</f>
        <v>0</v>
      </c>
    </row>
    <row r="166" spans="1:15" ht="21.75">
      <c r="A166" s="302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7"/>
      <c r="O166" s="305">
        <f>SUM(B166:N166)</f>
        <v>0</v>
      </c>
    </row>
    <row r="167" spans="1:15" ht="21.75">
      <c r="A167" s="308" t="s">
        <v>516</v>
      </c>
      <c r="B167" s="309">
        <f>SUM(B163:B166)</f>
        <v>12700</v>
      </c>
      <c r="C167" s="309">
        <f>SUM(C163:C166)</f>
        <v>0</v>
      </c>
      <c r="D167" s="309"/>
      <c r="E167" s="309">
        <f>SUM(E163:E166)</f>
        <v>0</v>
      </c>
      <c r="F167" s="309"/>
      <c r="G167" s="309"/>
      <c r="H167" s="309"/>
      <c r="I167" s="309">
        <f>SUM(I163:I166)</f>
        <v>2500</v>
      </c>
      <c r="J167" s="309"/>
      <c r="K167" s="309"/>
      <c r="L167" s="309"/>
      <c r="M167" s="309"/>
      <c r="N167" s="310"/>
      <c r="O167" s="310">
        <f>SUM(O163:O166)</f>
        <v>15200</v>
      </c>
    </row>
    <row r="168" spans="1:15" ht="22.5" thickBot="1">
      <c r="A168" s="311" t="s">
        <v>517</v>
      </c>
      <c r="B168" s="312">
        <f>94300+12700</f>
        <v>107000</v>
      </c>
      <c r="C168" s="312">
        <v>9543.5</v>
      </c>
      <c r="D168" s="312">
        <v>0</v>
      </c>
      <c r="E168" s="312">
        <v>7437</v>
      </c>
      <c r="F168" s="312">
        <v>0</v>
      </c>
      <c r="G168" s="312">
        <v>0</v>
      </c>
      <c r="H168" s="312">
        <v>0</v>
      </c>
      <c r="I168" s="312">
        <f>18000+2500</f>
        <v>20500</v>
      </c>
      <c r="J168" s="312">
        <v>0</v>
      </c>
      <c r="K168" s="312">
        <v>0</v>
      </c>
      <c r="L168" s="312">
        <v>0</v>
      </c>
      <c r="M168" s="312">
        <v>0</v>
      </c>
      <c r="N168" s="312">
        <v>0</v>
      </c>
      <c r="O168" s="312">
        <f>SUM(B168:N168)</f>
        <v>144480.5</v>
      </c>
    </row>
    <row r="169" spans="1:15" ht="22.5" thickTop="1">
      <c r="A169" s="299" t="s">
        <v>139</v>
      </c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1"/>
      <c r="O169" s="300"/>
    </row>
    <row r="170" spans="1:15" ht="21.75">
      <c r="A170" s="302" t="s">
        <v>545</v>
      </c>
      <c r="B170" s="303">
        <v>41670</v>
      </c>
      <c r="C170" s="303"/>
      <c r="D170" s="303"/>
      <c r="E170" s="303">
        <v>5700</v>
      </c>
      <c r="F170" s="303"/>
      <c r="G170" s="303">
        <v>61500</v>
      </c>
      <c r="H170" s="303"/>
      <c r="I170" s="303"/>
      <c r="J170" s="303"/>
      <c r="K170" s="303"/>
      <c r="L170" s="303"/>
      <c r="M170" s="303"/>
      <c r="N170" s="304"/>
      <c r="O170" s="305">
        <f>SUM(B170:N170)</f>
        <v>108870</v>
      </c>
    </row>
    <row r="171" spans="1:15" ht="21.75">
      <c r="A171" s="302" t="s">
        <v>546</v>
      </c>
      <c r="B171" s="303">
        <v>1904</v>
      </c>
      <c r="C171" s="303">
        <v>4780</v>
      </c>
      <c r="D171" s="303"/>
      <c r="E171" s="303"/>
      <c r="F171" s="303"/>
      <c r="G171" s="303"/>
      <c r="H171" s="303"/>
      <c r="I171" s="303"/>
      <c r="J171" s="303"/>
      <c r="K171" s="303">
        <v>76865</v>
      </c>
      <c r="L171" s="303"/>
      <c r="M171" s="303"/>
      <c r="N171" s="304"/>
      <c r="O171" s="305">
        <f>SUM(B171:N171)</f>
        <v>83549</v>
      </c>
    </row>
    <row r="172" spans="1:15" ht="21.75">
      <c r="A172" s="302" t="s">
        <v>547</v>
      </c>
      <c r="B172" s="303">
        <v>900</v>
      </c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4"/>
      <c r="O172" s="305">
        <f>SUM(B172:N172)</f>
        <v>900</v>
      </c>
    </row>
    <row r="173" spans="1:15" ht="21.75">
      <c r="A173" s="302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7"/>
      <c r="O173" s="305">
        <f>SUM(B173:N173)</f>
        <v>0</v>
      </c>
    </row>
    <row r="174" spans="1:15" ht="21.75">
      <c r="A174" s="308" t="s">
        <v>516</v>
      </c>
      <c r="B174" s="309">
        <f>SUM(B170:B173)</f>
        <v>44474</v>
      </c>
      <c r="C174" s="309">
        <f>SUM(C170:C173)</f>
        <v>4780</v>
      </c>
      <c r="D174" s="309"/>
      <c r="E174" s="309">
        <f>SUM(E170:E173)</f>
        <v>5700</v>
      </c>
      <c r="F174" s="309">
        <f>SUM(F170:F173)</f>
        <v>0</v>
      </c>
      <c r="G174" s="309">
        <f>SUM(G170:G173)</f>
        <v>61500</v>
      </c>
      <c r="H174" s="309"/>
      <c r="I174" s="309">
        <f>SUM(I170:I173)</f>
        <v>0</v>
      </c>
      <c r="J174" s="309"/>
      <c r="K174" s="309">
        <f>SUM(K171:K173)</f>
        <v>76865</v>
      </c>
      <c r="L174" s="309">
        <v>0</v>
      </c>
      <c r="M174" s="309"/>
      <c r="N174" s="310"/>
      <c r="O174" s="310">
        <f>SUM(O170:O173)</f>
        <v>193319</v>
      </c>
    </row>
    <row r="175" spans="1:15" ht="22.5" thickBot="1">
      <c r="A175" s="311" t="s">
        <v>517</v>
      </c>
      <c r="B175" s="312">
        <f>1111516.67+44474</f>
        <v>1155990.67</v>
      </c>
      <c r="C175" s="312">
        <f>20643.6+4780</f>
        <v>25423.6</v>
      </c>
      <c r="D175" s="312">
        <v>27155</v>
      </c>
      <c r="E175" s="312">
        <f>155950+5700</f>
        <v>161650</v>
      </c>
      <c r="F175" s="312">
        <v>410027</v>
      </c>
      <c r="G175" s="312">
        <f>709020+61500</f>
        <v>770520</v>
      </c>
      <c r="H175" s="312">
        <v>48000</v>
      </c>
      <c r="I175" s="312">
        <v>105241</v>
      </c>
      <c r="J175" s="319">
        <v>90000</v>
      </c>
      <c r="K175" s="312">
        <f>53700+76865</f>
        <v>130565</v>
      </c>
      <c r="L175" s="312">
        <v>173820</v>
      </c>
      <c r="M175" s="312">
        <v>0</v>
      </c>
      <c r="N175" s="312">
        <v>0</v>
      </c>
      <c r="O175" s="312">
        <f>SUM(B175:N175)</f>
        <v>3098392.27</v>
      </c>
    </row>
    <row r="176" spans="1:15" ht="22.5" thickTop="1">
      <c r="A176" s="292" t="s">
        <v>494</v>
      </c>
      <c r="B176" s="378" t="s">
        <v>496</v>
      </c>
      <c r="C176" s="379"/>
      <c r="D176" s="295" t="s">
        <v>497</v>
      </c>
      <c r="E176" s="378" t="s">
        <v>498</v>
      </c>
      <c r="F176" s="379"/>
      <c r="G176" s="293" t="s">
        <v>499</v>
      </c>
      <c r="H176" s="293" t="s">
        <v>500</v>
      </c>
      <c r="I176" s="293" t="s">
        <v>501</v>
      </c>
      <c r="J176" s="378" t="s">
        <v>502</v>
      </c>
      <c r="K176" s="379"/>
      <c r="L176" s="294" t="s">
        <v>503</v>
      </c>
      <c r="M176" s="296" t="s">
        <v>504</v>
      </c>
      <c r="N176" s="293" t="s">
        <v>529</v>
      </c>
      <c r="O176" s="380" t="s">
        <v>46</v>
      </c>
    </row>
    <row r="177" spans="1:15" ht="21.75">
      <c r="A177" s="297" t="s">
        <v>530</v>
      </c>
      <c r="B177" s="296" t="s">
        <v>505</v>
      </c>
      <c r="C177" s="296" t="s">
        <v>506</v>
      </c>
      <c r="D177" s="296" t="s">
        <v>507</v>
      </c>
      <c r="E177" s="296" t="s">
        <v>508</v>
      </c>
      <c r="F177" s="296" t="s">
        <v>509</v>
      </c>
      <c r="G177" s="296" t="s">
        <v>510</v>
      </c>
      <c r="H177" s="296" t="s">
        <v>511</v>
      </c>
      <c r="I177" s="298" t="s">
        <v>512</v>
      </c>
      <c r="J177" s="296" t="s">
        <v>528</v>
      </c>
      <c r="K177" s="296" t="s">
        <v>513</v>
      </c>
      <c r="L177" s="296" t="s">
        <v>514</v>
      </c>
      <c r="M177" s="296" t="s">
        <v>515</v>
      </c>
      <c r="N177" s="293" t="s">
        <v>495</v>
      </c>
      <c r="O177" s="380"/>
    </row>
    <row r="178" spans="1:15" ht="21.75">
      <c r="A178" s="299" t="s">
        <v>548</v>
      </c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1"/>
      <c r="O178" s="300"/>
    </row>
    <row r="179" spans="1:15" ht="21.75">
      <c r="A179" s="302" t="s">
        <v>549</v>
      </c>
      <c r="B179" s="303"/>
      <c r="C179" s="303"/>
      <c r="D179" s="303"/>
      <c r="E179" s="303">
        <v>16885</v>
      </c>
      <c r="F179" s="303">
        <v>4050</v>
      </c>
      <c r="G179" s="303"/>
      <c r="H179" s="303"/>
      <c r="I179" s="303"/>
      <c r="J179" s="303"/>
      <c r="K179" s="303"/>
      <c r="L179" s="303"/>
      <c r="M179" s="303"/>
      <c r="N179" s="304"/>
      <c r="O179" s="305">
        <f>SUM(B179:N179)</f>
        <v>20935</v>
      </c>
    </row>
    <row r="180" spans="1:15" ht="21.75">
      <c r="A180" s="302" t="s">
        <v>550</v>
      </c>
      <c r="B180" s="303">
        <v>2708</v>
      </c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4"/>
      <c r="O180" s="305">
        <f aca="true" t="shared" si="7" ref="O180:O190">SUM(B180:N180)</f>
        <v>2708</v>
      </c>
    </row>
    <row r="181" spans="1:15" ht="21.75">
      <c r="A181" s="302" t="s">
        <v>551</v>
      </c>
      <c r="B181" s="303">
        <v>1188</v>
      </c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4"/>
      <c r="O181" s="305">
        <f t="shared" si="7"/>
        <v>1188</v>
      </c>
    </row>
    <row r="182" spans="1:15" ht="21.75">
      <c r="A182" s="302" t="s">
        <v>552</v>
      </c>
      <c r="B182" s="303"/>
      <c r="C182" s="303"/>
      <c r="D182" s="303"/>
      <c r="E182" s="303"/>
      <c r="F182" s="303">
        <v>104650.5</v>
      </c>
      <c r="G182" s="303"/>
      <c r="H182" s="303"/>
      <c r="I182" s="303"/>
      <c r="J182" s="303"/>
      <c r="K182" s="303"/>
      <c r="L182" s="303"/>
      <c r="M182" s="303"/>
      <c r="N182" s="304"/>
      <c r="O182" s="305">
        <f t="shared" si="7"/>
        <v>104650.5</v>
      </c>
    </row>
    <row r="183" spans="1:15" ht="21.75">
      <c r="A183" s="302" t="s">
        <v>553</v>
      </c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4"/>
      <c r="O183" s="305">
        <f t="shared" si="7"/>
        <v>0</v>
      </c>
    </row>
    <row r="184" spans="1:15" ht="21.75">
      <c r="A184" s="302" t="s">
        <v>600</v>
      </c>
      <c r="B184" s="303">
        <v>1414</v>
      </c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4"/>
      <c r="O184" s="305">
        <f>SUM(B184:N184)</f>
        <v>1414</v>
      </c>
    </row>
    <row r="185" spans="1:15" ht="21.75">
      <c r="A185" s="302" t="s">
        <v>554</v>
      </c>
      <c r="B185" s="303">
        <v>10370</v>
      </c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4"/>
      <c r="O185" s="305">
        <f t="shared" si="7"/>
        <v>10370</v>
      </c>
    </row>
    <row r="186" spans="1:15" ht="21.75">
      <c r="A186" s="302" t="s">
        <v>556</v>
      </c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4"/>
      <c r="O186" s="305">
        <f t="shared" si="7"/>
        <v>0</v>
      </c>
    </row>
    <row r="187" spans="1:15" ht="21.75">
      <c r="A187" s="302" t="s">
        <v>557</v>
      </c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4"/>
      <c r="O187" s="305">
        <f t="shared" si="7"/>
        <v>0</v>
      </c>
    </row>
    <row r="188" spans="1:15" ht="21.75">
      <c r="A188" s="302" t="s">
        <v>558</v>
      </c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4"/>
      <c r="O188" s="305">
        <f t="shared" si="7"/>
        <v>0</v>
      </c>
    </row>
    <row r="189" spans="1:15" ht="21.75">
      <c r="A189" s="302" t="s">
        <v>559</v>
      </c>
      <c r="B189" s="303">
        <v>13644</v>
      </c>
      <c r="C189" s="303"/>
      <c r="D189" s="303"/>
      <c r="E189" s="303"/>
      <c r="F189" s="303"/>
      <c r="G189" s="303"/>
      <c r="H189" s="303"/>
      <c r="I189" s="303">
        <v>10360</v>
      </c>
      <c r="J189" s="303"/>
      <c r="K189" s="303"/>
      <c r="L189" s="303"/>
      <c r="M189" s="303"/>
      <c r="N189" s="304"/>
      <c r="O189" s="330">
        <f t="shared" si="7"/>
        <v>24004</v>
      </c>
    </row>
    <row r="190" spans="1:15" ht="21.75">
      <c r="A190" s="308" t="s">
        <v>516</v>
      </c>
      <c r="B190" s="309" t="s">
        <v>616</v>
      </c>
      <c r="C190" s="309">
        <f>SUM(C179:C189)</f>
        <v>0</v>
      </c>
      <c r="D190" s="309"/>
      <c r="E190" s="309">
        <f>SUM(E179:E189)</f>
        <v>16885</v>
      </c>
      <c r="F190" s="309">
        <f>SUM(F179:F189)</f>
        <v>108700.5</v>
      </c>
      <c r="G190" s="309">
        <f>SUM(G179:G189)</f>
        <v>0</v>
      </c>
      <c r="H190" s="309"/>
      <c r="I190" s="309">
        <f>SUM(I179:I189)</f>
        <v>10360</v>
      </c>
      <c r="J190" s="309"/>
      <c r="K190" s="309">
        <v>0</v>
      </c>
      <c r="L190" s="309">
        <v>0</v>
      </c>
      <c r="M190" s="309"/>
      <c r="N190" s="310"/>
      <c r="O190" s="329">
        <f t="shared" si="7"/>
        <v>135945.5</v>
      </c>
    </row>
    <row r="191" spans="1:15" ht="22.5" thickBot="1">
      <c r="A191" s="311" t="s">
        <v>517</v>
      </c>
      <c r="B191" s="312">
        <f>292027+29324</f>
        <v>321351</v>
      </c>
      <c r="C191" s="312">
        <v>26559</v>
      </c>
      <c r="D191" s="312">
        <v>0</v>
      </c>
      <c r="E191" s="312">
        <f>28430+16885</f>
        <v>45315</v>
      </c>
      <c r="F191" s="312">
        <f>447468.27+108700.5</f>
        <v>556168.77</v>
      </c>
      <c r="G191" s="312">
        <v>91260</v>
      </c>
      <c r="H191" s="312">
        <v>0</v>
      </c>
      <c r="I191" s="312">
        <f>45605+10360</f>
        <v>55965</v>
      </c>
      <c r="J191" s="312">
        <v>0</v>
      </c>
      <c r="K191" s="312">
        <v>79466</v>
      </c>
      <c r="L191" s="312">
        <v>0</v>
      </c>
      <c r="M191" s="312">
        <v>10800</v>
      </c>
      <c r="N191" s="312">
        <v>0</v>
      </c>
      <c r="O191" s="312">
        <f>SUM(B191:N191)</f>
        <v>1186884.77</v>
      </c>
    </row>
    <row r="192" spans="1:15" ht="22.5" thickTop="1">
      <c r="A192" s="299" t="s">
        <v>197</v>
      </c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1"/>
      <c r="O192" s="300"/>
    </row>
    <row r="193" spans="1:15" ht="21.75">
      <c r="A193" s="302" t="s">
        <v>560</v>
      </c>
      <c r="B193" s="303">
        <v>0</v>
      </c>
      <c r="C193" s="303"/>
      <c r="D193" s="303"/>
      <c r="E193" s="303"/>
      <c r="F193" s="303">
        <v>1626.77</v>
      </c>
      <c r="G193" s="303"/>
      <c r="H193" s="303"/>
      <c r="I193" s="303"/>
      <c r="J193" s="303"/>
      <c r="K193" s="303"/>
      <c r="L193" s="303"/>
      <c r="M193" s="303"/>
      <c r="N193" s="304"/>
      <c r="O193" s="305">
        <f aca="true" t="shared" si="8" ref="O193:O198">SUM(B193:N193)</f>
        <v>1626.77</v>
      </c>
    </row>
    <row r="194" spans="1:15" ht="21.75">
      <c r="A194" s="302" t="s">
        <v>561</v>
      </c>
      <c r="B194" s="303">
        <v>265.36</v>
      </c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4"/>
      <c r="O194" s="305">
        <f t="shared" si="8"/>
        <v>265.36</v>
      </c>
    </row>
    <row r="195" spans="1:15" ht="21.75">
      <c r="A195" s="302" t="s">
        <v>562</v>
      </c>
      <c r="B195" s="303">
        <v>207</v>
      </c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4"/>
      <c r="O195" s="305">
        <f t="shared" si="8"/>
        <v>207</v>
      </c>
    </row>
    <row r="196" spans="1:15" ht="21.75">
      <c r="A196" s="302" t="s">
        <v>563</v>
      </c>
      <c r="B196" s="303">
        <v>3745</v>
      </c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4"/>
      <c r="O196" s="331">
        <f t="shared" si="8"/>
        <v>3745</v>
      </c>
    </row>
    <row r="197" spans="1:15" ht="21.75">
      <c r="A197" s="308" t="s">
        <v>516</v>
      </c>
      <c r="B197" s="309">
        <f>SUM(B193:B196)</f>
        <v>4217.36</v>
      </c>
      <c r="C197" s="309">
        <f>SUM(C193:C196)</f>
        <v>0</v>
      </c>
      <c r="D197" s="309"/>
      <c r="E197" s="309">
        <f>SUM(E193:E196)</f>
        <v>0</v>
      </c>
      <c r="F197" s="309">
        <f>SUM(F193:F196)</f>
        <v>1626.77</v>
      </c>
      <c r="G197" s="309">
        <f>SUM(G193:G196)</f>
        <v>0</v>
      </c>
      <c r="H197" s="309"/>
      <c r="I197" s="309">
        <f>SUM(I193:I196)</f>
        <v>0</v>
      </c>
      <c r="J197" s="309"/>
      <c r="K197" s="309">
        <v>0</v>
      </c>
      <c r="L197" s="309">
        <v>0</v>
      </c>
      <c r="M197" s="309"/>
      <c r="N197" s="310"/>
      <c r="O197" s="332">
        <f t="shared" si="8"/>
        <v>5844.129999999999</v>
      </c>
    </row>
    <row r="198" spans="1:15" ht="22.5" thickBot="1">
      <c r="A198" s="311" t="s">
        <v>517</v>
      </c>
      <c r="B198" s="312">
        <f>119800.14+4217.36</f>
        <v>124017.5</v>
      </c>
      <c r="C198" s="312">
        <v>0</v>
      </c>
      <c r="D198" s="312">
        <v>0</v>
      </c>
      <c r="E198" s="312">
        <v>0</v>
      </c>
      <c r="F198" s="312">
        <f>29707.03+1626.77</f>
        <v>31333.8</v>
      </c>
      <c r="G198" s="312">
        <v>0</v>
      </c>
      <c r="H198" s="312">
        <v>0</v>
      </c>
      <c r="I198" s="312">
        <v>0</v>
      </c>
      <c r="J198" s="312">
        <v>0</v>
      </c>
      <c r="K198" s="312">
        <v>0</v>
      </c>
      <c r="L198" s="312">
        <v>0</v>
      </c>
      <c r="M198" s="312">
        <v>0</v>
      </c>
      <c r="N198" s="312">
        <v>0</v>
      </c>
      <c r="O198" s="312">
        <f t="shared" si="8"/>
        <v>155351.3</v>
      </c>
    </row>
    <row r="199" spans="1:15" ht="22.5" thickTop="1">
      <c r="A199" s="299" t="s">
        <v>564</v>
      </c>
      <c r="B199" s="300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1"/>
      <c r="O199" s="300"/>
    </row>
    <row r="200" spans="1:15" ht="21.75">
      <c r="A200" s="302" t="s">
        <v>565</v>
      </c>
      <c r="B200" s="303">
        <v>10900</v>
      </c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4"/>
      <c r="O200" s="305">
        <f>SUM(B200:N200)</f>
        <v>10900</v>
      </c>
    </row>
    <row r="201" spans="1:15" ht="21.75">
      <c r="A201" s="302" t="s">
        <v>567</v>
      </c>
      <c r="B201" s="303">
        <v>5950</v>
      </c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4"/>
      <c r="O201" s="305">
        <f>SUM(B201:N201)</f>
        <v>5950</v>
      </c>
    </row>
    <row r="202" spans="1:15" ht="21.75">
      <c r="A202" s="302" t="s">
        <v>568</v>
      </c>
      <c r="B202" s="303">
        <v>22100</v>
      </c>
      <c r="C202" s="303">
        <v>7900</v>
      </c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4"/>
      <c r="O202" s="305">
        <f>SUM(B202:N202)</f>
        <v>30000</v>
      </c>
    </row>
    <row r="203" spans="1:15" ht="21.75">
      <c r="A203" s="308" t="s">
        <v>516</v>
      </c>
      <c r="B203" s="309">
        <f>SUM(B200:B202)</f>
        <v>38950</v>
      </c>
      <c r="C203" s="309">
        <f>SUM(C200:C202)</f>
        <v>7900</v>
      </c>
      <c r="D203" s="309"/>
      <c r="E203" s="309">
        <f>SUM(E200:E202)</f>
        <v>0</v>
      </c>
      <c r="F203" s="309">
        <f>SUM(F200:F202)</f>
        <v>0</v>
      </c>
      <c r="G203" s="309">
        <f>SUM(G200:G202)</f>
        <v>0</v>
      </c>
      <c r="H203" s="309"/>
      <c r="I203" s="309">
        <f>SUM(I200:I202)</f>
        <v>0</v>
      </c>
      <c r="J203" s="309"/>
      <c r="K203" s="309">
        <v>0</v>
      </c>
      <c r="L203" s="309">
        <v>0</v>
      </c>
      <c r="M203" s="309"/>
      <c r="N203" s="310"/>
      <c r="O203" s="305">
        <f>SUM(B203:N203)</f>
        <v>46850</v>
      </c>
    </row>
    <row r="204" spans="1:15" ht="22.5" thickBot="1">
      <c r="A204" s="311" t="s">
        <v>517</v>
      </c>
      <c r="B204" s="312">
        <f>88500+38950</f>
        <v>127450</v>
      </c>
      <c r="C204" s="312">
        <f>55500+7900</f>
        <v>63400</v>
      </c>
      <c r="D204" s="312">
        <v>0</v>
      </c>
      <c r="E204" s="312">
        <v>7100</v>
      </c>
      <c r="F204" s="312">
        <v>0</v>
      </c>
      <c r="G204" s="312">
        <v>0</v>
      </c>
      <c r="H204" s="312">
        <v>0</v>
      </c>
      <c r="I204" s="312">
        <v>14000</v>
      </c>
      <c r="J204" s="312">
        <v>0</v>
      </c>
      <c r="K204" s="312">
        <v>0</v>
      </c>
      <c r="L204" s="312">
        <v>0</v>
      </c>
      <c r="M204" s="312">
        <v>0</v>
      </c>
      <c r="N204" s="312">
        <v>0</v>
      </c>
      <c r="O204" s="312">
        <f>SUM(B204:N204)</f>
        <v>211950</v>
      </c>
    </row>
    <row r="205" spans="1:15" ht="22.5" thickTop="1">
      <c r="A205" s="317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1:15" ht="21.75">
      <c r="A206" s="292" t="s">
        <v>494</v>
      </c>
      <c r="B206" s="378" t="s">
        <v>496</v>
      </c>
      <c r="C206" s="379"/>
      <c r="D206" s="295" t="s">
        <v>497</v>
      </c>
      <c r="E206" s="378" t="s">
        <v>498</v>
      </c>
      <c r="F206" s="379"/>
      <c r="G206" s="293" t="s">
        <v>499</v>
      </c>
      <c r="H206" s="293" t="s">
        <v>500</v>
      </c>
      <c r="I206" s="293" t="s">
        <v>501</v>
      </c>
      <c r="J206" s="378" t="s">
        <v>502</v>
      </c>
      <c r="K206" s="379"/>
      <c r="L206" s="294" t="s">
        <v>503</v>
      </c>
      <c r="M206" s="296" t="s">
        <v>504</v>
      </c>
      <c r="N206" s="293" t="s">
        <v>529</v>
      </c>
      <c r="O206" s="380" t="s">
        <v>46</v>
      </c>
    </row>
    <row r="207" spans="1:15" ht="21.75">
      <c r="A207" s="297" t="s">
        <v>530</v>
      </c>
      <c r="B207" s="296" t="s">
        <v>505</v>
      </c>
      <c r="C207" s="296" t="s">
        <v>506</v>
      </c>
      <c r="D207" s="296" t="s">
        <v>507</v>
      </c>
      <c r="E207" s="296" t="s">
        <v>508</v>
      </c>
      <c r="F207" s="296" t="s">
        <v>509</v>
      </c>
      <c r="G207" s="296" t="s">
        <v>510</v>
      </c>
      <c r="H207" s="296" t="s">
        <v>511</v>
      </c>
      <c r="I207" s="298" t="s">
        <v>512</v>
      </c>
      <c r="J207" s="296" t="s">
        <v>528</v>
      </c>
      <c r="K207" s="296" t="s">
        <v>513</v>
      </c>
      <c r="L207" s="296" t="s">
        <v>514</v>
      </c>
      <c r="M207" s="296" t="s">
        <v>515</v>
      </c>
      <c r="N207" s="293" t="s">
        <v>495</v>
      </c>
      <c r="O207" s="380"/>
    </row>
    <row r="208" spans="1:15" ht="21.75">
      <c r="A208" s="318" t="s">
        <v>569</v>
      </c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4"/>
      <c r="O208" s="303"/>
    </row>
    <row r="209" spans="1:15" ht="21.75">
      <c r="A209" s="302" t="s">
        <v>570</v>
      </c>
      <c r="B209" s="303"/>
      <c r="C209" s="303"/>
      <c r="D209" s="303"/>
      <c r="E209" s="303"/>
      <c r="F209" s="303"/>
      <c r="G209" s="303"/>
      <c r="H209" s="303"/>
      <c r="I209" s="303">
        <v>444500</v>
      </c>
      <c r="J209" s="303"/>
      <c r="K209" s="303"/>
      <c r="L209" s="303"/>
      <c r="M209" s="303"/>
      <c r="N209" s="304"/>
      <c r="O209" s="305">
        <f>SUM(B209:N209)</f>
        <v>444500</v>
      </c>
    </row>
    <row r="210" spans="1:15" ht="21.75">
      <c r="A210" s="302"/>
      <c r="B210" s="303"/>
      <c r="C210" s="303"/>
      <c r="D210" s="303"/>
      <c r="E210" s="303"/>
      <c r="F210" s="303"/>
      <c r="G210" s="303"/>
      <c r="H210" s="303"/>
      <c r="I210" s="303">
        <v>0</v>
      </c>
      <c r="J210" s="303"/>
      <c r="K210" s="303"/>
      <c r="L210" s="303"/>
      <c r="M210" s="303"/>
      <c r="N210" s="304"/>
      <c r="O210" s="305">
        <f>SUM(B210:N210)</f>
        <v>0</v>
      </c>
    </row>
    <row r="211" spans="1:15" ht="21.75">
      <c r="A211" s="308" t="s">
        <v>516</v>
      </c>
      <c r="B211" s="309">
        <f>SUM(B209:B210)</f>
        <v>0</v>
      </c>
      <c r="C211" s="309">
        <f>SUM(C209:C210)</f>
        <v>0</v>
      </c>
      <c r="D211" s="309"/>
      <c r="E211" s="309">
        <f>SUM(E209:E210)</f>
        <v>0</v>
      </c>
      <c r="F211" s="309">
        <f>SUM(F209:F210)</f>
        <v>0</v>
      </c>
      <c r="G211" s="309">
        <f>SUM(G209:G210)</f>
        <v>0</v>
      </c>
      <c r="H211" s="309"/>
      <c r="I211" s="309">
        <f>SUM(I209:I210)</f>
        <v>444500</v>
      </c>
      <c r="J211" s="309"/>
      <c r="K211" s="309">
        <v>0</v>
      </c>
      <c r="L211" s="309">
        <v>0</v>
      </c>
      <c r="M211" s="309"/>
      <c r="N211" s="310"/>
      <c r="O211" s="305">
        <f>SUM(B211:N211)</f>
        <v>444500</v>
      </c>
    </row>
    <row r="212" spans="1:15" ht="22.5" thickBot="1">
      <c r="A212" s="311" t="s">
        <v>517</v>
      </c>
      <c r="B212" s="312">
        <v>0</v>
      </c>
      <c r="C212" s="312"/>
      <c r="D212" s="312">
        <v>0</v>
      </c>
      <c r="E212" s="312"/>
      <c r="F212" s="312">
        <v>0</v>
      </c>
      <c r="G212" s="312">
        <v>0</v>
      </c>
      <c r="H212" s="312">
        <v>0</v>
      </c>
      <c r="I212" s="312">
        <f>394500+444500</f>
        <v>839000</v>
      </c>
      <c r="J212" s="312">
        <v>0</v>
      </c>
      <c r="K212" s="312">
        <v>0</v>
      </c>
      <c r="L212" s="312">
        <v>0</v>
      </c>
      <c r="M212" s="312">
        <v>0</v>
      </c>
      <c r="N212" s="312">
        <v>0</v>
      </c>
      <c r="O212" s="312">
        <f>SUM(B212:N212)</f>
        <v>839000</v>
      </c>
    </row>
    <row r="213" spans="1:15" ht="22.5" thickTop="1">
      <c r="A213" s="299" t="s">
        <v>571</v>
      </c>
      <c r="B213" s="300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1"/>
      <c r="O213" s="300"/>
    </row>
    <row r="214" spans="1:15" ht="21.75">
      <c r="A214" s="302" t="s">
        <v>572</v>
      </c>
      <c r="B214" s="303"/>
      <c r="C214" s="303"/>
      <c r="D214" s="303"/>
      <c r="E214" s="303"/>
      <c r="F214" s="303">
        <v>0</v>
      </c>
      <c r="G214" s="303"/>
      <c r="H214" s="303"/>
      <c r="I214" s="303">
        <v>30000</v>
      </c>
      <c r="J214" s="303"/>
      <c r="K214" s="303"/>
      <c r="L214" s="303"/>
      <c r="M214" s="303"/>
      <c r="N214" s="304"/>
      <c r="O214" s="305">
        <f aca="true" t="shared" si="9" ref="O214:O219">SUM(B214:N214)</f>
        <v>30000</v>
      </c>
    </row>
    <row r="215" spans="1:15" ht="21.75">
      <c r="A215" s="302" t="s">
        <v>573</v>
      </c>
      <c r="B215" s="303"/>
      <c r="C215" s="303"/>
      <c r="D215" s="303"/>
      <c r="E215" s="303"/>
      <c r="F215" s="303"/>
      <c r="G215" s="303"/>
      <c r="H215" s="303"/>
      <c r="I215" s="303">
        <v>30000</v>
      </c>
      <c r="J215" s="303"/>
      <c r="K215" s="303"/>
      <c r="L215" s="303"/>
      <c r="M215" s="303"/>
      <c r="N215" s="304"/>
      <c r="O215" s="305">
        <f t="shared" si="9"/>
        <v>30000</v>
      </c>
    </row>
    <row r="216" spans="1:15" ht="21.75">
      <c r="A216" s="308" t="s">
        <v>516</v>
      </c>
      <c r="B216" s="309">
        <f>SUM(B214:B215)</f>
        <v>0</v>
      </c>
      <c r="C216" s="309">
        <f>SUM(C214:C215)</f>
        <v>0</v>
      </c>
      <c r="D216" s="309"/>
      <c r="E216" s="309">
        <f>SUM(E214:E215)</f>
        <v>0</v>
      </c>
      <c r="F216" s="309">
        <f>SUM(F214:F215)</f>
        <v>0</v>
      </c>
      <c r="G216" s="309">
        <f>SUM(G214:G215)</f>
        <v>0</v>
      </c>
      <c r="H216" s="309"/>
      <c r="I216" s="309">
        <f>SUM(I214:I215)</f>
        <v>60000</v>
      </c>
      <c r="J216" s="309"/>
      <c r="K216" s="309">
        <v>0</v>
      </c>
      <c r="L216" s="309">
        <v>0</v>
      </c>
      <c r="M216" s="309"/>
      <c r="N216" s="310"/>
      <c r="O216" s="305">
        <f t="shared" si="9"/>
        <v>60000</v>
      </c>
    </row>
    <row r="217" spans="1:15" ht="21.75">
      <c r="A217" s="313" t="s">
        <v>517</v>
      </c>
      <c r="B217" s="314">
        <v>20000</v>
      </c>
      <c r="C217" s="314"/>
      <c r="D217" s="314">
        <v>0</v>
      </c>
      <c r="E217" s="314"/>
      <c r="F217" s="314">
        <v>968000</v>
      </c>
      <c r="G217" s="314">
        <v>0</v>
      </c>
      <c r="H217" s="314">
        <v>0</v>
      </c>
      <c r="I217" s="314">
        <v>146571.73</v>
      </c>
      <c r="J217" s="314">
        <v>0</v>
      </c>
      <c r="K217" s="314">
        <v>30000</v>
      </c>
      <c r="L217" s="314">
        <v>28000</v>
      </c>
      <c r="M217" s="314">
        <v>0</v>
      </c>
      <c r="N217" s="314">
        <v>0</v>
      </c>
      <c r="O217" s="314">
        <f t="shared" si="9"/>
        <v>1192571.73</v>
      </c>
    </row>
    <row r="218" spans="1:15" ht="21.75">
      <c r="A218" s="315" t="s">
        <v>574</v>
      </c>
      <c r="B218" s="266">
        <v>668070.36</v>
      </c>
      <c r="C218" s="266">
        <v>82835</v>
      </c>
      <c r="D218" s="266">
        <v>0</v>
      </c>
      <c r="E218" s="266">
        <v>78765</v>
      </c>
      <c r="F218" s="266">
        <v>110327.27</v>
      </c>
      <c r="G218" s="266">
        <v>61500</v>
      </c>
      <c r="H218" s="266"/>
      <c r="I218" s="266">
        <v>525345</v>
      </c>
      <c r="J218" s="266"/>
      <c r="K218" s="266">
        <v>106865</v>
      </c>
      <c r="L218" s="266">
        <v>0</v>
      </c>
      <c r="M218" s="266"/>
      <c r="N218" s="266">
        <v>439653</v>
      </c>
      <c r="O218" s="266">
        <f t="shared" si="9"/>
        <v>2073360.63</v>
      </c>
    </row>
    <row r="219" spans="1:15" ht="22.5" thickBot="1">
      <c r="A219" s="316" t="s">
        <v>575</v>
      </c>
      <c r="B219" s="312">
        <v>7646214.17</v>
      </c>
      <c r="C219" s="312">
        <v>891159.1</v>
      </c>
      <c r="D219" s="312">
        <v>27155</v>
      </c>
      <c r="E219" s="312">
        <v>863310</v>
      </c>
      <c r="F219" s="312">
        <v>1965529.57</v>
      </c>
      <c r="G219" s="312">
        <v>861780</v>
      </c>
      <c r="H219" s="312">
        <v>48000</v>
      </c>
      <c r="I219" s="312">
        <v>1782280.73</v>
      </c>
      <c r="J219" s="319">
        <v>90000</v>
      </c>
      <c r="K219" s="312">
        <v>240031</v>
      </c>
      <c r="L219" s="312">
        <v>201820</v>
      </c>
      <c r="M219" s="312">
        <v>10800</v>
      </c>
      <c r="N219" s="312">
        <v>5733508</v>
      </c>
      <c r="O219" s="319">
        <f t="shared" si="9"/>
        <v>20361587.57</v>
      </c>
    </row>
    <row r="220" ht="22.5" thickTop="1"/>
  </sheetData>
  <sheetProtection/>
  <mergeCells count="44">
    <mergeCell ref="B33:C33"/>
    <mergeCell ref="B90:C90"/>
    <mergeCell ref="E90:F90"/>
    <mergeCell ref="J90:K90"/>
    <mergeCell ref="O90:O91"/>
    <mergeCell ref="O33:O34"/>
    <mergeCell ref="B59:C59"/>
    <mergeCell ref="E33:F33"/>
    <mergeCell ref="J33:K33"/>
    <mergeCell ref="O5:O6"/>
    <mergeCell ref="E59:F59"/>
    <mergeCell ref="J59:K59"/>
    <mergeCell ref="O59:O60"/>
    <mergeCell ref="J5:K5"/>
    <mergeCell ref="A2:O2"/>
    <mergeCell ref="A3:O3"/>
    <mergeCell ref="A4:O4"/>
    <mergeCell ref="B5:C5"/>
    <mergeCell ref="E5:F5"/>
    <mergeCell ref="A30:O30"/>
    <mergeCell ref="A31:O31"/>
    <mergeCell ref="A119:O119"/>
    <mergeCell ref="A120:O120"/>
    <mergeCell ref="A121:O121"/>
    <mergeCell ref="B122:C122"/>
    <mergeCell ref="E122:F122"/>
    <mergeCell ref="J122:K122"/>
    <mergeCell ref="O122:O123"/>
    <mergeCell ref="A32:O32"/>
    <mergeCell ref="A147:O147"/>
    <mergeCell ref="A148:O148"/>
    <mergeCell ref="A149:O149"/>
    <mergeCell ref="B150:C150"/>
    <mergeCell ref="E150:F150"/>
    <mergeCell ref="J150:K150"/>
    <mergeCell ref="O150:O151"/>
    <mergeCell ref="B176:C176"/>
    <mergeCell ref="E176:F176"/>
    <mergeCell ref="J176:K176"/>
    <mergeCell ref="O176:O177"/>
    <mergeCell ref="B206:C206"/>
    <mergeCell ref="E206:F206"/>
    <mergeCell ref="J206:K206"/>
    <mergeCell ref="O206:O207"/>
  </mergeCells>
  <printOptions/>
  <pageMargins left="0.4330708661417323" right="0.1968503937007874" top="0.4330708661417323" bottom="0.2755905511811024" header="0.31496062992125984" footer="0.15748031496062992"/>
  <pageSetup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"/>
    </sheetView>
  </sheetViews>
  <sheetFormatPr defaultColWidth="9.140625" defaultRowHeight="21.75"/>
  <sheetData/>
  <sheetProtection/>
  <printOptions/>
  <pageMargins left="0.42" right="0.31" top="0.38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36"/>
  <sheetViews>
    <sheetView zoomScalePageLayoutView="0" workbookViewId="0" topLeftCell="A996">
      <selection activeCell="G983" sqref="G983:G1009"/>
    </sheetView>
  </sheetViews>
  <sheetFormatPr defaultColWidth="9.140625" defaultRowHeight="23.25" customHeight="1"/>
  <cols>
    <col min="1" max="2" width="9.140625" style="174" customWidth="1"/>
    <col min="3" max="3" width="13.8515625" style="174" customWidth="1"/>
    <col min="4" max="4" width="26.421875" style="174" customWidth="1"/>
    <col min="5" max="5" width="12.140625" style="174" customWidth="1"/>
    <col min="6" max="6" width="21.8515625" style="174" customWidth="1"/>
    <col min="7" max="7" width="22.7109375" style="174" customWidth="1"/>
    <col min="8" max="8" width="9.140625" style="70" customWidth="1"/>
    <col min="9" max="9" width="23.00390625" style="70" customWidth="1"/>
    <col min="10" max="10" width="20.140625" style="70" customWidth="1"/>
    <col min="11" max="13" width="9.140625" style="70" customWidth="1"/>
    <col min="14" max="14" width="15.57421875" style="70" customWidth="1"/>
    <col min="15" max="16384" width="9.140625" style="70" customWidth="1"/>
  </cols>
  <sheetData>
    <row r="2" spans="1:7" ht="27.75" customHeight="1">
      <c r="A2" s="335" t="s">
        <v>13</v>
      </c>
      <c r="B2" s="335"/>
      <c r="C2" s="335"/>
      <c r="D2" s="335"/>
      <c r="E2" s="335"/>
      <c r="F2" s="335"/>
      <c r="G2" s="335"/>
    </row>
    <row r="3" spans="1:7" ht="23.25" customHeight="1">
      <c r="A3" s="336" t="s">
        <v>115</v>
      </c>
      <c r="B3" s="336"/>
      <c r="C3" s="336"/>
      <c r="D3" s="336"/>
      <c r="E3" s="336"/>
      <c r="F3" s="336"/>
      <c r="G3" s="336"/>
    </row>
    <row r="4" spans="1:7" ht="23.25" customHeight="1" thickBot="1">
      <c r="A4" s="336" t="s">
        <v>200</v>
      </c>
      <c r="B4" s="336"/>
      <c r="C4" s="336"/>
      <c r="D4" s="336"/>
      <c r="E4" s="336"/>
      <c r="F4" s="336"/>
      <c r="G4" s="336"/>
    </row>
    <row r="5" spans="1:7" ht="23.25" customHeight="1" thickBot="1">
      <c r="A5" s="338" t="s">
        <v>29</v>
      </c>
      <c r="B5" s="339"/>
      <c r="C5" s="339"/>
      <c r="D5" s="339"/>
      <c r="E5" s="148" t="s">
        <v>30</v>
      </c>
      <c r="F5" s="148" t="s">
        <v>31</v>
      </c>
      <c r="G5" s="149" t="s">
        <v>32</v>
      </c>
    </row>
    <row r="6" spans="1:7" ht="23.25" customHeight="1">
      <c r="A6" s="150" t="s">
        <v>108</v>
      </c>
      <c r="B6" s="151"/>
      <c r="C6" s="151"/>
      <c r="D6" s="152"/>
      <c r="E6" s="153">
        <v>110100</v>
      </c>
      <c r="F6" s="102">
        <v>0</v>
      </c>
      <c r="G6" s="154"/>
    </row>
    <row r="7" spans="1:7" ht="23.25" customHeight="1">
      <c r="A7" s="155" t="s">
        <v>133</v>
      </c>
      <c r="B7" s="156"/>
      <c r="C7" s="156"/>
      <c r="D7" s="157"/>
      <c r="E7" s="153">
        <v>110201</v>
      </c>
      <c r="F7" s="75">
        <f>10660776.11+2641191.96+22163-16-2218382.01+17972.25-2069306.29+1876154.14+1155132.15-1699966.34+1309161+362756.27+1250+42997.25-1488089.69+1653196.06+42799.25-2157424.41+1974863.6+1364200.97-2430377.26+45.5-2129997.86+6155.8+4050297.77</f>
        <v>12987553.220000003</v>
      </c>
      <c r="G7" s="158"/>
    </row>
    <row r="8" spans="1:7" ht="23.25" customHeight="1">
      <c r="A8" s="155" t="s">
        <v>11</v>
      </c>
      <c r="B8" s="156"/>
      <c r="C8" s="156"/>
      <c r="D8" s="159"/>
      <c r="E8" s="153">
        <v>110201</v>
      </c>
      <c r="F8" s="75">
        <f>167913.88+430.42+100000+220000-300000+30000+100000-100000+10439.92</f>
        <v>228784.22000000006</v>
      </c>
      <c r="G8" s="158"/>
    </row>
    <row r="9" spans="1:7" ht="23.25" customHeight="1">
      <c r="A9" s="155" t="s">
        <v>82</v>
      </c>
      <c r="B9" s="156"/>
      <c r="C9" s="156"/>
      <c r="D9" s="159"/>
      <c r="E9" s="153">
        <v>110201</v>
      </c>
      <c r="F9" s="103">
        <f>2035.38+5.07+4.31</f>
        <v>2044.76</v>
      </c>
      <c r="G9" s="158"/>
    </row>
    <row r="10" spans="1:7" ht="23.25" customHeight="1">
      <c r="A10" s="155" t="s">
        <v>134</v>
      </c>
      <c r="B10" s="156"/>
      <c r="C10" s="156"/>
      <c r="D10" s="159"/>
      <c r="E10" s="153">
        <v>110201</v>
      </c>
      <c r="F10" s="75">
        <f>33515.87+759788.47-793304.34</f>
        <v>0</v>
      </c>
      <c r="G10" s="75"/>
    </row>
    <row r="11" spans="1:7" ht="23.25" customHeight="1">
      <c r="A11" s="155" t="s">
        <v>103</v>
      </c>
      <c r="B11" s="156"/>
      <c r="C11" s="156"/>
      <c r="D11" s="159"/>
      <c r="E11" s="153"/>
      <c r="F11" s="160"/>
      <c r="G11" s="158"/>
    </row>
    <row r="12" spans="1:7" ht="23.25" customHeight="1">
      <c r="A12" s="155" t="s">
        <v>45</v>
      </c>
      <c r="B12" s="156"/>
      <c r="C12" s="156"/>
      <c r="D12" s="159"/>
      <c r="E12" s="161" t="s">
        <v>192</v>
      </c>
      <c r="F12" s="160">
        <v>572455</v>
      </c>
      <c r="G12" s="158"/>
    </row>
    <row r="13" spans="1:7" ht="23.25" customHeight="1">
      <c r="A13" s="155" t="s">
        <v>135</v>
      </c>
      <c r="B13" s="156"/>
      <c r="C13" s="156"/>
      <c r="D13" s="159"/>
      <c r="E13" s="162" t="s">
        <v>193</v>
      </c>
      <c r="F13" s="160">
        <v>207060</v>
      </c>
      <c r="G13" s="68"/>
    </row>
    <row r="14" spans="1:7" ht="23.25" customHeight="1">
      <c r="A14" s="155" t="s">
        <v>107</v>
      </c>
      <c r="B14" s="156"/>
      <c r="C14" s="156"/>
      <c r="D14" s="159"/>
      <c r="E14" s="162" t="s">
        <v>194</v>
      </c>
      <c r="F14" s="160">
        <v>340780</v>
      </c>
      <c r="G14" s="68"/>
    </row>
    <row r="15" spans="1:7" ht="23.25" customHeight="1">
      <c r="A15" s="155" t="s">
        <v>93</v>
      </c>
      <c r="B15" s="156"/>
      <c r="C15" s="156"/>
      <c r="D15" s="159"/>
      <c r="E15" s="162" t="s">
        <v>195</v>
      </c>
      <c r="F15" s="160">
        <v>13310</v>
      </c>
      <c r="G15" s="68"/>
    </row>
    <row r="16" spans="1:7" ht="23.25" customHeight="1">
      <c r="A16" s="155" t="s">
        <v>33</v>
      </c>
      <c r="B16" s="156"/>
      <c r="C16" s="156"/>
      <c r="D16" s="159"/>
      <c r="E16" s="162" t="s">
        <v>196</v>
      </c>
      <c r="F16" s="160">
        <v>147075</v>
      </c>
      <c r="G16" s="68"/>
    </row>
    <row r="17" spans="1:7" ht="23.25" customHeight="1">
      <c r="A17" s="155" t="s">
        <v>80</v>
      </c>
      <c r="B17" s="156"/>
      <c r="C17" s="156"/>
      <c r="D17" s="159"/>
      <c r="E17" s="162" t="s">
        <v>191</v>
      </c>
      <c r="F17" s="158">
        <v>7400</v>
      </c>
      <c r="G17" s="68"/>
    </row>
    <row r="18" spans="1:7" ht="23.25" customHeight="1">
      <c r="A18" s="155" t="s">
        <v>81</v>
      </c>
      <c r="B18" s="156"/>
      <c r="C18" s="156"/>
      <c r="D18" s="159"/>
      <c r="E18" s="162" t="s">
        <v>139</v>
      </c>
      <c r="F18" s="158">
        <v>112050</v>
      </c>
      <c r="G18" s="68"/>
    </row>
    <row r="19" spans="1:7" ht="23.25" customHeight="1">
      <c r="A19" s="155" t="s">
        <v>34</v>
      </c>
      <c r="B19" s="156"/>
      <c r="C19" s="156"/>
      <c r="D19" s="159"/>
      <c r="E19" s="162" t="s">
        <v>197</v>
      </c>
      <c r="F19" s="158">
        <v>3992.17</v>
      </c>
      <c r="G19" s="68"/>
    </row>
    <row r="20" spans="1:7" ht="23.25" customHeight="1">
      <c r="A20" s="155" t="s">
        <v>35</v>
      </c>
      <c r="B20" s="156"/>
      <c r="C20" s="156"/>
      <c r="D20" s="159"/>
      <c r="E20" s="153">
        <v>610000</v>
      </c>
      <c r="F20" s="158">
        <v>253000</v>
      </c>
      <c r="G20" s="163"/>
    </row>
    <row r="21" spans="1:7" ht="23.25" customHeight="1">
      <c r="A21" s="155" t="s">
        <v>36</v>
      </c>
      <c r="B21" s="156"/>
      <c r="C21" s="156"/>
      <c r="D21" s="159"/>
      <c r="E21" s="153">
        <v>410000</v>
      </c>
      <c r="F21" s="158"/>
      <c r="G21" s="163"/>
    </row>
    <row r="22" spans="1:7" ht="23.25" customHeight="1">
      <c r="A22" s="155" t="s">
        <v>37</v>
      </c>
      <c r="B22" s="156"/>
      <c r="C22" s="156"/>
      <c r="D22" s="159"/>
      <c r="E22" s="153">
        <v>420000</v>
      </c>
      <c r="F22" s="158"/>
      <c r="G22" s="163"/>
    </row>
    <row r="23" spans="1:7" ht="23.25" customHeight="1">
      <c r="A23" s="155" t="s">
        <v>79</v>
      </c>
      <c r="B23" s="156"/>
      <c r="C23" s="156"/>
      <c r="D23" s="159"/>
      <c r="E23" s="153">
        <v>120700</v>
      </c>
      <c r="F23" s="103"/>
      <c r="G23" s="163">
        <v>4052753.57</v>
      </c>
    </row>
    <row r="24" spans="1:7" ht="23.25" customHeight="1">
      <c r="A24" s="155" t="s">
        <v>38</v>
      </c>
      <c r="B24" s="156"/>
      <c r="C24" s="156"/>
      <c r="D24" s="164"/>
      <c r="E24" s="165">
        <v>300000</v>
      </c>
      <c r="F24" s="75"/>
      <c r="G24" s="75">
        <v>2788701.9</v>
      </c>
    </row>
    <row r="25" spans="1:7" ht="23.25" customHeight="1">
      <c r="A25" s="155" t="s">
        <v>76</v>
      </c>
      <c r="B25" s="156"/>
      <c r="C25" s="156"/>
      <c r="D25" s="159"/>
      <c r="E25" s="161" t="s">
        <v>139</v>
      </c>
      <c r="F25" s="103"/>
      <c r="G25" s="75">
        <v>6149240.45</v>
      </c>
    </row>
    <row r="26" spans="1:7" ht="23.25" customHeight="1">
      <c r="A26" s="155" t="s">
        <v>121</v>
      </c>
      <c r="B26" s="156"/>
      <c r="C26" s="156"/>
      <c r="D26" s="159"/>
      <c r="E26" s="165">
        <v>230100</v>
      </c>
      <c r="F26" s="75"/>
      <c r="G26" s="75">
        <f>830281.14-202589.19+208413.5</f>
        <v>836105.45</v>
      </c>
    </row>
    <row r="27" spans="1:7" ht="23.25" customHeight="1">
      <c r="A27" s="155" t="s">
        <v>124</v>
      </c>
      <c r="B27" s="156"/>
      <c r="C27" s="156"/>
      <c r="D27" s="159"/>
      <c r="E27" s="165">
        <v>210402</v>
      </c>
      <c r="F27" s="75"/>
      <c r="G27" s="166">
        <f>1523703-475000</f>
        <v>1048703</v>
      </c>
    </row>
    <row r="28" spans="1:9" ht="23.25" customHeight="1" thickBot="1">
      <c r="A28" s="167"/>
      <c r="B28" s="168"/>
      <c r="C28" s="168"/>
      <c r="D28" s="169"/>
      <c r="E28" s="170"/>
      <c r="F28" s="171">
        <f>SUM(F6:F27)</f>
        <v>14875504.370000003</v>
      </c>
      <c r="G28" s="172">
        <f>SUM(G13:G27)</f>
        <v>14875504.37</v>
      </c>
      <c r="I28" s="173"/>
    </row>
    <row r="29" ht="23.25" customHeight="1" thickTop="1"/>
    <row r="33" spans="1:6" ht="23.25" customHeight="1">
      <c r="A33" s="174" t="s">
        <v>0</v>
      </c>
      <c r="D33" s="175" t="s">
        <v>184</v>
      </c>
      <c r="F33" s="174" t="s">
        <v>181</v>
      </c>
    </row>
    <row r="34" spans="1:6" ht="23.25" customHeight="1">
      <c r="A34" s="174" t="s">
        <v>165</v>
      </c>
      <c r="D34" s="174" t="s">
        <v>185</v>
      </c>
      <c r="F34" s="174" t="s">
        <v>182</v>
      </c>
    </row>
    <row r="35" spans="1:6" ht="23.25" customHeight="1">
      <c r="A35" s="174" t="s">
        <v>179</v>
      </c>
      <c r="D35" s="174" t="s">
        <v>186</v>
      </c>
      <c r="F35" s="174" t="s">
        <v>183</v>
      </c>
    </row>
    <row r="36" ht="23.25" customHeight="1">
      <c r="A36" s="174" t="s">
        <v>1</v>
      </c>
    </row>
    <row r="44" spans="1:7" ht="24.75" customHeight="1">
      <c r="A44" s="335" t="s">
        <v>13</v>
      </c>
      <c r="B44" s="335"/>
      <c r="C44" s="335"/>
      <c r="D44" s="335"/>
      <c r="E44" s="335"/>
      <c r="F44" s="335"/>
      <c r="G44" s="335"/>
    </row>
    <row r="45" spans="1:7" ht="24.75" customHeight="1">
      <c r="A45" s="336" t="s">
        <v>115</v>
      </c>
      <c r="B45" s="336"/>
      <c r="C45" s="336"/>
      <c r="D45" s="336"/>
      <c r="E45" s="336"/>
      <c r="F45" s="336"/>
      <c r="G45" s="336"/>
    </row>
    <row r="46" spans="1:7" ht="24.75" customHeight="1">
      <c r="A46" s="147"/>
      <c r="B46" s="147"/>
      <c r="C46" s="147"/>
      <c r="D46" s="337" t="s">
        <v>267</v>
      </c>
      <c r="E46" s="337"/>
      <c r="F46" s="337"/>
      <c r="G46" s="147"/>
    </row>
    <row r="47" spans="1:7" ht="24.75" customHeight="1" thickBot="1">
      <c r="A47" s="336" t="s">
        <v>243</v>
      </c>
      <c r="B47" s="336"/>
      <c r="C47" s="336"/>
      <c r="D47" s="336"/>
      <c r="E47" s="336"/>
      <c r="F47" s="336"/>
      <c r="G47" s="336"/>
    </row>
    <row r="48" spans="1:7" ht="24.75" customHeight="1" thickBot="1">
      <c r="A48" s="338" t="s">
        <v>29</v>
      </c>
      <c r="B48" s="339"/>
      <c r="C48" s="339"/>
      <c r="D48" s="339"/>
      <c r="E48" s="148" t="s">
        <v>30</v>
      </c>
      <c r="F48" s="148" t="s">
        <v>31</v>
      </c>
      <c r="G48" s="149" t="s">
        <v>32</v>
      </c>
    </row>
    <row r="49" spans="1:7" ht="24.75" customHeight="1">
      <c r="A49" s="150" t="s">
        <v>108</v>
      </c>
      <c r="B49" s="151"/>
      <c r="C49" s="151"/>
      <c r="D49" s="152"/>
      <c r="E49" s="153">
        <v>110100</v>
      </c>
      <c r="F49" s="102">
        <v>0</v>
      </c>
      <c r="G49" s="154"/>
    </row>
    <row r="50" spans="1:9" ht="24.75" customHeight="1">
      <c r="A50" s="155" t="s">
        <v>133</v>
      </c>
      <c r="B50" s="156"/>
      <c r="C50" s="156"/>
      <c r="D50" s="157"/>
      <c r="E50" s="153">
        <v>110201</v>
      </c>
      <c r="F50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</f>
        <v>13001924.100000001</v>
      </c>
      <c r="G50" s="158"/>
      <c r="I50" s="173"/>
    </row>
    <row r="51" spans="1:7" ht="24.75" customHeight="1">
      <c r="A51" s="155" t="s">
        <v>11</v>
      </c>
      <c r="B51" s="156"/>
      <c r="C51" s="156"/>
      <c r="D51" s="159"/>
      <c r="E51" s="153">
        <v>110201</v>
      </c>
      <c r="F51" s="75">
        <f>167913.88+430.42+100000+220000-300000+30000+100000-100000+10439.92-100000+100000</f>
        <v>228784.22000000006</v>
      </c>
      <c r="G51" s="158"/>
    </row>
    <row r="52" spans="1:7" ht="24.75" customHeight="1">
      <c r="A52" s="155" t="s">
        <v>82</v>
      </c>
      <c r="B52" s="156"/>
      <c r="C52" s="156"/>
      <c r="D52" s="159"/>
      <c r="E52" s="153">
        <v>110201</v>
      </c>
      <c r="F52" s="103">
        <f>2035.38+5.07+4.31</f>
        <v>2044.76</v>
      </c>
      <c r="G52" s="158"/>
    </row>
    <row r="53" spans="1:7" ht="24.75" customHeight="1">
      <c r="A53" s="155" t="s">
        <v>18</v>
      </c>
      <c r="B53" s="156"/>
      <c r="C53" s="156"/>
      <c r="D53" s="159"/>
      <c r="E53" s="153">
        <v>210402</v>
      </c>
      <c r="F53" s="160"/>
      <c r="G53" s="158">
        <v>794903</v>
      </c>
    </row>
    <row r="54" spans="1:7" ht="24.75" customHeight="1">
      <c r="A54" s="155" t="s">
        <v>232</v>
      </c>
      <c r="B54" s="156"/>
      <c r="C54" s="156"/>
      <c r="D54" s="159"/>
      <c r="E54" s="153">
        <v>230102</v>
      </c>
      <c r="F54" s="160"/>
      <c r="G54" s="158">
        <v>4923.02</v>
      </c>
    </row>
    <row r="55" spans="1:7" ht="24.75" customHeight="1">
      <c r="A55" s="155" t="s">
        <v>252</v>
      </c>
      <c r="B55" s="156"/>
      <c r="C55" s="156"/>
      <c r="D55" s="159"/>
      <c r="E55" s="153">
        <v>230105</v>
      </c>
      <c r="F55" s="160"/>
      <c r="G55" s="158">
        <f>2299.34+3348.07</f>
        <v>5647.41</v>
      </c>
    </row>
    <row r="56" spans="1:7" ht="24.75" customHeight="1">
      <c r="A56" s="155" t="s">
        <v>253</v>
      </c>
      <c r="B56" s="156"/>
      <c r="C56" s="156"/>
      <c r="D56" s="159"/>
      <c r="E56" s="153">
        <v>230106</v>
      </c>
      <c r="F56" s="160"/>
      <c r="G56" s="158">
        <f>2723+119.38</f>
        <v>2842.38</v>
      </c>
    </row>
    <row r="57" spans="1:7" ht="24.75" customHeight="1">
      <c r="A57" s="155" t="s">
        <v>233</v>
      </c>
      <c r="B57" s="156"/>
      <c r="C57" s="156"/>
      <c r="D57" s="159"/>
      <c r="E57" s="153">
        <v>230108</v>
      </c>
      <c r="F57" s="160"/>
      <c r="G57" s="158">
        <v>429650</v>
      </c>
    </row>
    <row r="58" spans="1:7" ht="24.75" customHeight="1">
      <c r="A58" s="155" t="s">
        <v>254</v>
      </c>
      <c r="B58" s="156"/>
      <c r="C58" s="156"/>
      <c r="D58" s="159"/>
      <c r="E58" s="153">
        <v>230116</v>
      </c>
      <c r="F58" s="160"/>
      <c r="G58" s="158">
        <v>178643.25</v>
      </c>
    </row>
    <row r="59" spans="1:7" ht="24.75" customHeight="1">
      <c r="A59" s="155" t="s">
        <v>255</v>
      </c>
      <c r="B59" s="156"/>
      <c r="C59" s="156"/>
      <c r="D59" s="159"/>
      <c r="E59" s="153">
        <v>230199</v>
      </c>
      <c r="F59" s="160"/>
      <c r="G59" s="158">
        <v>225</v>
      </c>
    </row>
    <row r="60" spans="1:7" ht="24.75" customHeight="1">
      <c r="A60" s="155" t="s">
        <v>256</v>
      </c>
      <c r="B60" s="156"/>
      <c r="C60" s="156"/>
      <c r="D60" s="159"/>
      <c r="E60" s="153">
        <v>230199</v>
      </c>
      <c r="F60" s="160"/>
      <c r="G60" s="158">
        <f>55725+335265+24450</f>
        <v>415440</v>
      </c>
    </row>
    <row r="61" spans="1:7" ht="24.75" customHeight="1">
      <c r="A61" s="155" t="s">
        <v>257</v>
      </c>
      <c r="B61" s="156"/>
      <c r="C61" s="156"/>
      <c r="D61" s="159"/>
      <c r="E61" s="153">
        <v>230199</v>
      </c>
      <c r="F61" s="160"/>
      <c r="G61" s="158">
        <v>228784.22</v>
      </c>
    </row>
    <row r="62" spans="1:7" ht="24.75" customHeight="1">
      <c r="A62" s="155" t="s">
        <v>258</v>
      </c>
      <c r="B62" s="156"/>
      <c r="C62" s="156"/>
      <c r="D62" s="159"/>
      <c r="E62" s="153">
        <v>230199</v>
      </c>
      <c r="F62" s="160"/>
      <c r="G62" s="158">
        <v>110.69</v>
      </c>
    </row>
    <row r="63" spans="1:7" ht="24.75" customHeight="1">
      <c r="A63" s="155" t="s">
        <v>38</v>
      </c>
      <c r="B63" s="156"/>
      <c r="C63" s="156"/>
      <c r="D63" s="164"/>
      <c r="E63" s="153">
        <v>310000</v>
      </c>
      <c r="F63" s="158"/>
      <c r="G63" s="163">
        <v>2788709</v>
      </c>
    </row>
    <row r="64" spans="1:7" ht="24.75" customHeight="1">
      <c r="A64" s="155" t="s">
        <v>76</v>
      </c>
      <c r="B64" s="156"/>
      <c r="C64" s="156"/>
      <c r="D64" s="159"/>
      <c r="E64" s="153">
        <v>320000</v>
      </c>
      <c r="F64" s="158"/>
      <c r="G64" s="163">
        <v>6149240.45</v>
      </c>
    </row>
    <row r="65" spans="1:7" ht="24.75" customHeight="1">
      <c r="A65" s="155" t="s">
        <v>227</v>
      </c>
      <c r="B65" s="156"/>
      <c r="C65" s="156"/>
      <c r="D65" s="159"/>
      <c r="E65" s="153">
        <v>412103</v>
      </c>
      <c r="F65" s="158"/>
      <c r="G65" s="163">
        <v>19.4</v>
      </c>
    </row>
    <row r="66" spans="1:7" ht="24.75" customHeight="1">
      <c r="A66" s="155" t="s">
        <v>23</v>
      </c>
      <c r="B66" s="156"/>
      <c r="C66" s="156"/>
      <c r="D66" s="159"/>
      <c r="E66" s="153">
        <v>412106</v>
      </c>
      <c r="F66" s="158"/>
      <c r="G66" s="163">
        <v>1382</v>
      </c>
    </row>
    <row r="67" spans="1:7" ht="24.75" customHeight="1">
      <c r="A67" s="155" t="s">
        <v>188</v>
      </c>
      <c r="B67" s="156"/>
      <c r="C67" s="156"/>
      <c r="D67" s="159"/>
      <c r="E67" s="153">
        <v>412210</v>
      </c>
      <c r="F67" s="158"/>
      <c r="G67" s="163">
        <v>1000</v>
      </c>
    </row>
    <row r="68" spans="1:7" ht="24.75" customHeight="1">
      <c r="A68" s="155" t="s">
        <v>247</v>
      </c>
      <c r="B68" s="156"/>
      <c r="C68" s="156"/>
      <c r="D68" s="159"/>
      <c r="E68" s="153">
        <v>412307</v>
      </c>
      <c r="F68" s="247"/>
      <c r="G68" s="163">
        <v>1975</v>
      </c>
    </row>
    <row r="69" spans="1:7" ht="24.75" customHeight="1">
      <c r="A69" s="155" t="s">
        <v>27</v>
      </c>
      <c r="B69" s="156"/>
      <c r="C69" s="156"/>
      <c r="D69" s="164"/>
      <c r="E69" s="165">
        <v>415004</v>
      </c>
      <c r="F69" s="248"/>
      <c r="G69" s="75">
        <v>5200</v>
      </c>
    </row>
    <row r="70" spans="1:7" ht="24.75" customHeight="1">
      <c r="A70" s="155" t="s">
        <v>43</v>
      </c>
      <c r="B70" s="156"/>
      <c r="C70" s="156"/>
      <c r="D70" s="159"/>
      <c r="E70" s="161" t="s">
        <v>266</v>
      </c>
      <c r="F70" s="103"/>
      <c r="G70" s="75">
        <v>8169.4</v>
      </c>
    </row>
    <row r="71" spans="1:7" ht="24.75" customHeight="1">
      <c r="A71" s="155" t="s">
        <v>248</v>
      </c>
      <c r="B71" s="156"/>
      <c r="C71" s="156"/>
      <c r="D71" s="159"/>
      <c r="E71" s="165">
        <v>421307</v>
      </c>
      <c r="F71" s="75"/>
      <c r="G71" s="75">
        <v>1479825.59</v>
      </c>
    </row>
    <row r="72" spans="1:7" ht="24.75" customHeight="1">
      <c r="A72" s="155" t="s">
        <v>249</v>
      </c>
      <c r="B72" s="156"/>
      <c r="C72" s="156"/>
      <c r="D72" s="159"/>
      <c r="E72" s="165">
        <v>421004</v>
      </c>
      <c r="F72" s="75"/>
      <c r="G72" s="166">
        <v>223111.55</v>
      </c>
    </row>
    <row r="73" spans="1:7" ht="24.75" customHeight="1">
      <c r="A73" s="155" t="s">
        <v>24</v>
      </c>
      <c r="B73" s="156"/>
      <c r="C73" s="156"/>
      <c r="D73" s="159"/>
      <c r="E73" s="165">
        <v>421005</v>
      </c>
      <c r="F73" s="75"/>
      <c r="G73" s="166">
        <v>8361.66</v>
      </c>
    </row>
    <row r="74" spans="1:7" ht="24.75" customHeight="1">
      <c r="A74" s="155" t="s">
        <v>20</v>
      </c>
      <c r="B74" s="156"/>
      <c r="C74" s="156"/>
      <c r="D74" s="159"/>
      <c r="E74" s="165">
        <v>421006</v>
      </c>
      <c r="F74" s="75"/>
      <c r="G74" s="166">
        <v>104186.51</v>
      </c>
    </row>
    <row r="75" spans="1:7" ht="24.75" customHeight="1">
      <c r="A75" s="155" t="s">
        <v>21</v>
      </c>
      <c r="B75" s="156"/>
      <c r="C75" s="156"/>
      <c r="D75" s="159"/>
      <c r="E75" s="165">
        <v>421007</v>
      </c>
      <c r="F75" s="75"/>
      <c r="G75" s="166">
        <v>275482.82</v>
      </c>
    </row>
    <row r="76" spans="1:7" ht="24.75" customHeight="1">
      <c r="A76" s="155" t="s">
        <v>22</v>
      </c>
      <c r="B76" s="156"/>
      <c r="C76" s="156"/>
      <c r="D76" s="159"/>
      <c r="E76" s="165">
        <v>421013</v>
      </c>
      <c r="F76" s="75"/>
      <c r="G76" s="166">
        <v>5473.67</v>
      </c>
    </row>
    <row r="77" spans="1:7" ht="24.75" customHeight="1">
      <c r="A77" s="155" t="s">
        <v>250</v>
      </c>
      <c r="B77" s="156"/>
      <c r="C77" s="156"/>
      <c r="D77" s="159"/>
      <c r="E77" s="165">
        <v>421015</v>
      </c>
      <c r="F77" s="75"/>
      <c r="G77" s="166">
        <v>22520</v>
      </c>
    </row>
    <row r="78" spans="1:7" ht="24.75" customHeight="1">
      <c r="A78" s="155" t="s">
        <v>251</v>
      </c>
      <c r="B78" s="156"/>
      <c r="C78" s="156"/>
      <c r="D78" s="159"/>
      <c r="E78" s="165">
        <v>431002</v>
      </c>
      <c r="F78" s="75"/>
      <c r="G78" s="166">
        <v>3261953</v>
      </c>
    </row>
    <row r="79" spans="1:7" ht="24.75" customHeight="1">
      <c r="A79" s="167"/>
      <c r="B79" s="168"/>
      <c r="C79" s="168"/>
      <c r="D79" s="169"/>
      <c r="E79" s="221"/>
      <c r="F79" s="222"/>
      <c r="G79" s="246"/>
    </row>
    <row r="80" spans="1:7" s="34" customFormat="1" ht="24.75" customHeight="1">
      <c r="A80" s="156"/>
      <c r="B80" s="156"/>
      <c r="C80" s="156"/>
      <c r="D80" s="156"/>
      <c r="E80" s="218"/>
      <c r="F80" s="219"/>
      <c r="G80" s="220"/>
    </row>
    <row r="81" spans="1:7" s="34" customFormat="1" ht="24.75" customHeight="1">
      <c r="A81" s="156"/>
      <c r="B81" s="156"/>
      <c r="C81" s="156"/>
      <c r="D81" s="156"/>
      <c r="E81" s="218"/>
      <c r="F81" s="219"/>
      <c r="G81" s="220"/>
    </row>
    <row r="82" spans="1:7" s="34" customFormat="1" ht="24.75" customHeight="1">
      <c r="A82" s="156"/>
      <c r="B82" s="156"/>
      <c r="C82" s="156"/>
      <c r="D82" s="156"/>
      <c r="E82" s="218"/>
      <c r="F82" s="219"/>
      <c r="G82" s="220"/>
    </row>
    <row r="83" spans="1:7" s="34" customFormat="1" ht="24.75" customHeight="1" thickBot="1">
      <c r="A83" s="156"/>
      <c r="B83" s="156"/>
      <c r="C83" s="156"/>
      <c r="D83" s="156"/>
      <c r="E83" s="218">
        <v>-2</v>
      </c>
      <c r="F83" s="219"/>
      <c r="G83" s="220"/>
    </row>
    <row r="84" spans="1:7" s="34" customFormat="1" ht="24.75" customHeight="1" thickBot="1">
      <c r="A84" s="340" t="s">
        <v>29</v>
      </c>
      <c r="B84" s="341"/>
      <c r="C84" s="341"/>
      <c r="D84" s="342"/>
      <c r="E84" s="223" t="s">
        <v>30</v>
      </c>
      <c r="F84" s="148" t="s">
        <v>31</v>
      </c>
      <c r="G84" s="244" t="s">
        <v>32</v>
      </c>
    </row>
    <row r="85" spans="1:7" ht="24.75" customHeight="1">
      <c r="A85" s="155" t="s">
        <v>45</v>
      </c>
      <c r="B85" s="156"/>
      <c r="C85" s="156"/>
      <c r="D85" s="159"/>
      <c r="E85" s="161" t="s">
        <v>244</v>
      </c>
      <c r="F85" s="160">
        <v>1052281</v>
      </c>
      <c r="G85" s="245"/>
    </row>
    <row r="86" spans="1:7" ht="24.75" customHeight="1">
      <c r="A86" s="155" t="s">
        <v>135</v>
      </c>
      <c r="B86" s="156"/>
      <c r="C86" s="156"/>
      <c r="D86" s="159"/>
      <c r="E86" s="162" t="s">
        <v>245</v>
      </c>
      <c r="F86" s="160">
        <v>414120</v>
      </c>
      <c r="G86" s="68"/>
    </row>
    <row r="87" spans="1:7" ht="24.75" customHeight="1">
      <c r="A87" s="155" t="s">
        <v>107</v>
      </c>
      <c r="B87" s="156"/>
      <c r="C87" s="156"/>
      <c r="D87" s="159"/>
      <c r="E87" s="162" t="s">
        <v>136</v>
      </c>
      <c r="F87" s="160">
        <f>340780+340780</f>
        <v>681560</v>
      </c>
      <c r="G87" s="68"/>
    </row>
    <row r="88" spans="1:7" ht="24.75" customHeight="1">
      <c r="A88" s="155" t="s">
        <v>93</v>
      </c>
      <c r="B88" s="156"/>
      <c r="C88" s="156"/>
      <c r="D88" s="159"/>
      <c r="E88" s="162" t="s">
        <v>136</v>
      </c>
      <c r="F88" s="160">
        <f>13310+13310</f>
        <v>26620</v>
      </c>
      <c r="G88" s="68"/>
    </row>
    <row r="89" spans="1:7" ht="24.75" customHeight="1">
      <c r="A89" s="155" t="s">
        <v>33</v>
      </c>
      <c r="B89" s="156"/>
      <c r="C89" s="156"/>
      <c r="D89" s="159"/>
      <c r="E89" s="162" t="s">
        <v>136</v>
      </c>
      <c r="F89" s="160">
        <f>147075+137075</f>
        <v>284150</v>
      </c>
      <c r="G89" s="68"/>
    </row>
    <row r="90" spans="1:7" ht="24.75" customHeight="1">
      <c r="A90" s="155" t="s">
        <v>80</v>
      </c>
      <c r="B90" s="156"/>
      <c r="C90" s="156"/>
      <c r="D90" s="159"/>
      <c r="E90" s="162" t="s">
        <v>137</v>
      </c>
      <c r="F90" s="158">
        <v>22515</v>
      </c>
      <c r="G90" s="68"/>
    </row>
    <row r="91" spans="1:7" ht="24.75" customHeight="1">
      <c r="A91" s="155" t="s">
        <v>81</v>
      </c>
      <c r="B91" s="156"/>
      <c r="C91" s="156"/>
      <c r="D91" s="159"/>
      <c r="E91" s="162" t="s">
        <v>138</v>
      </c>
      <c r="F91" s="158">
        <f>305709.29-0.9</f>
        <v>305708.38999999996</v>
      </c>
      <c r="G91" s="68"/>
    </row>
    <row r="92" spans="1:7" ht="24.75" customHeight="1">
      <c r="A92" s="70" t="s">
        <v>83</v>
      </c>
      <c r="B92" s="156"/>
      <c r="C92" s="156"/>
      <c r="D92" s="159"/>
      <c r="E92" s="162" t="s">
        <v>246</v>
      </c>
      <c r="F92" s="158">
        <v>90550</v>
      </c>
      <c r="G92" s="68"/>
    </row>
    <row r="93" spans="1:7" ht="24.75" customHeight="1">
      <c r="A93" s="155" t="s">
        <v>34</v>
      </c>
      <c r="B93" s="156"/>
      <c r="C93" s="156"/>
      <c r="D93" s="159"/>
      <c r="E93" s="104">
        <v>534000</v>
      </c>
      <c r="F93" s="158">
        <v>14521.55</v>
      </c>
      <c r="G93" s="163"/>
    </row>
    <row r="94" spans="1:7" ht="24.75" customHeight="1">
      <c r="A94" s="155" t="s">
        <v>35</v>
      </c>
      <c r="B94" s="156"/>
      <c r="C94" s="156"/>
      <c r="D94" s="159"/>
      <c r="E94" s="153">
        <v>561000</v>
      </c>
      <c r="F94" s="75">
        <v>273000</v>
      </c>
      <c r="G94" s="166"/>
    </row>
    <row r="95" spans="1:7" ht="24.75" customHeight="1">
      <c r="A95" s="155"/>
      <c r="B95" s="156"/>
      <c r="C95" s="156"/>
      <c r="D95" s="159"/>
      <c r="E95" s="165"/>
      <c r="F95" s="75"/>
      <c r="G95" s="166"/>
    </row>
    <row r="96" spans="1:7" ht="24.75" customHeight="1">
      <c r="A96" s="155"/>
      <c r="B96" s="156"/>
      <c r="C96" s="156"/>
      <c r="D96" s="159"/>
      <c r="E96" s="165"/>
      <c r="F96" s="75"/>
      <c r="G96" s="166"/>
    </row>
    <row r="97" spans="1:7" ht="24.75" customHeight="1">
      <c r="A97" s="155"/>
      <c r="B97" s="156"/>
      <c r="C97" s="156"/>
      <c r="D97" s="159"/>
      <c r="E97" s="165"/>
      <c r="F97" s="75"/>
      <c r="G97" s="166"/>
    </row>
    <row r="98" spans="1:7" ht="24.75" customHeight="1">
      <c r="A98" s="155"/>
      <c r="B98" s="156"/>
      <c r="C98" s="156"/>
      <c r="D98" s="159"/>
      <c r="E98" s="165"/>
      <c r="F98" s="75"/>
      <c r="G98" s="166"/>
    </row>
    <row r="99" spans="1:7" ht="24.75" customHeight="1">
      <c r="A99" s="155"/>
      <c r="B99" s="156"/>
      <c r="C99" s="156"/>
      <c r="D99" s="159"/>
      <c r="E99" s="165"/>
      <c r="F99" s="75"/>
      <c r="G99" s="166"/>
    </row>
    <row r="100" spans="1:7" ht="24.75" customHeight="1">
      <c r="A100" s="155"/>
      <c r="B100" s="156"/>
      <c r="C100" s="156"/>
      <c r="D100" s="159"/>
      <c r="E100" s="165"/>
      <c r="F100" s="75"/>
      <c r="G100" s="166"/>
    </row>
    <row r="101" spans="1:7" ht="24.75" customHeight="1">
      <c r="A101" s="155"/>
      <c r="B101" s="156"/>
      <c r="C101" s="156"/>
      <c r="D101" s="159"/>
      <c r="E101" s="165"/>
      <c r="F101" s="75"/>
      <c r="G101" s="166"/>
    </row>
    <row r="102" spans="1:7" ht="24.75" customHeight="1">
      <c r="A102" s="155"/>
      <c r="B102" s="156"/>
      <c r="C102" s="156"/>
      <c r="D102" s="159"/>
      <c r="E102" s="165"/>
      <c r="F102" s="75"/>
      <c r="G102" s="246"/>
    </row>
    <row r="103" spans="1:7" ht="24.75" customHeight="1" thickBot="1">
      <c r="A103" s="224"/>
      <c r="B103" s="225"/>
      <c r="C103" s="225"/>
      <c r="D103" s="226"/>
      <c r="E103" s="227"/>
      <c r="F103" s="171">
        <f>SUM(F50:F102)</f>
        <v>16397779.020000003</v>
      </c>
      <c r="G103" s="172">
        <f>SUM(G49:G102)</f>
        <v>16397779.020000001</v>
      </c>
    </row>
    <row r="104" ht="24.75" customHeight="1" thickTop="1">
      <c r="I104" s="215"/>
    </row>
    <row r="105" ht="24.75" customHeight="1">
      <c r="I105" s="173"/>
    </row>
    <row r="106" ht="24.75" customHeight="1"/>
    <row r="107" ht="24.75" customHeight="1"/>
    <row r="108" spans="1:9" ht="24.75" customHeight="1">
      <c r="A108" s="174" t="s">
        <v>0</v>
      </c>
      <c r="D108" s="175" t="s">
        <v>184</v>
      </c>
      <c r="F108" s="174" t="s">
        <v>181</v>
      </c>
      <c r="I108" s="173"/>
    </row>
    <row r="109" spans="1:6" ht="24.75" customHeight="1">
      <c r="A109" s="174" t="s">
        <v>165</v>
      </c>
      <c r="D109" s="174" t="s">
        <v>185</v>
      </c>
      <c r="F109" s="174" t="s">
        <v>182</v>
      </c>
    </row>
    <row r="110" spans="1:9" ht="24.75" customHeight="1">
      <c r="A110" s="174" t="s">
        <v>179</v>
      </c>
      <c r="D110" s="174" t="s">
        <v>186</v>
      </c>
      <c r="F110" s="174" t="s">
        <v>183</v>
      </c>
      <c r="I110" s="173"/>
    </row>
    <row r="111" ht="24.75" customHeight="1">
      <c r="A111" s="174" t="s">
        <v>1</v>
      </c>
    </row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3.25" customHeight="1">
      <c r="I118" s="173"/>
    </row>
    <row r="119" ht="23.25" customHeight="1">
      <c r="I119" s="173"/>
    </row>
    <row r="120" ht="23.25" customHeight="1">
      <c r="I120" s="173"/>
    </row>
    <row r="121" ht="23.25" customHeight="1">
      <c r="I121" s="173"/>
    </row>
    <row r="122" spans="1:9" ht="27.75" customHeight="1">
      <c r="A122" s="335" t="s">
        <v>13</v>
      </c>
      <c r="B122" s="335"/>
      <c r="C122" s="335"/>
      <c r="D122" s="335"/>
      <c r="E122" s="335"/>
      <c r="F122" s="335"/>
      <c r="G122" s="335"/>
      <c r="I122" s="173"/>
    </row>
    <row r="123" spans="1:7" ht="20.25" customHeight="1">
      <c r="A123" s="336" t="s">
        <v>115</v>
      </c>
      <c r="B123" s="336"/>
      <c r="C123" s="336"/>
      <c r="D123" s="336"/>
      <c r="E123" s="336"/>
      <c r="F123" s="336"/>
      <c r="G123" s="336"/>
    </row>
    <row r="124" spans="1:7" ht="23.25" customHeight="1">
      <c r="A124" s="147"/>
      <c r="B124" s="147"/>
      <c r="C124" s="147"/>
      <c r="D124" s="337" t="s">
        <v>267</v>
      </c>
      <c r="E124" s="337"/>
      <c r="F124" s="337"/>
      <c r="G124" s="147"/>
    </row>
    <row r="125" spans="1:7" ht="23.25" customHeight="1" thickBot="1">
      <c r="A125" s="336" t="s">
        <v>383</v>
      </c>
      <c r="B125" s="336"/>
      <c r="C125" s="336"/>
      <c r="D125" s="336"/>
      <c r="E125" s="336"/>
      <c r="F125" s="336"/>
      <c r="G125" s="336"/>
    </row>
    <row r="126" spans="1:7" ht="23.25" customHeight="1" thickBot="1">
      <c r="A126" s="338" t="s">
        <v>29</v>
      </c>
      <c r="B126" s="339"/>
      <c r="C126" s="339"/>
      <c r="D126" s="339"/>
      <c r="E126" s="148" t="s">
        <v>30</v>
      </c>
      <c r="F126" s="148" t="s">
        <v>31</v>
      </c>
      <c r="G126" s="149" t="s">
        <v>32</v>
      </c>
    </row>
    <row r="127" spans="1:7" ht="24" customHeight="1">
      <c r="A127" s="150" t="s">
        <v>108</v>
      </c>
      <c r="B127" s="151"/>
      <c r="C127" s="151"/>
      <c r="D127" s="152"/>
      <c r="E127" s="153">
        <v>110100</v>
      </c>
      <c r="F127" s="102">
        <v>0</v>
      </c>
      <c r="G127" s="154"/>
    </row>
    <row r="128" spans="1:7" ht="24" customHeight="1">
      <c r="A128" s="155" t="s">
        <v>133</v>
      </c>
      <c r="B128" s="156"/>
      <c r="C128" s="156"/>
      <c r="D128" s="157"/>
      <c r="E128" s="153">
        <v>110201</v>
      </c>
      <c r="F128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</f>
        <v>11261171.75</v>
      </c>
      <c r="G128" s="158"/>
    </row>
    <row r="129" spans="1:7" ht="24" customHeight="1">
      <c r="A129" s="155" t="s">
        <v>11</v>
      </c>
      <c r="B129" s="156"/>
      <c r="C129" s="156"/>
      <c r="D129" s="159"/>
      <c r="E129" s="153">
        <v>110201</v>
      </c>
      <c r="F129" s="75">
        <f>167913.88+430.42+100000+220000-300000+30000+100000-100000+10439.92-100000+100000</f>
        <v>228784.22000000006</v>
      </c>
      <c r="G129" s="158"/>
    </row>
    <row r="130" spans="1:7" ht="24" customHeight="1">
      <c r="A130" s="155" t="s">
        <v>82</v>
      </c>
      <c r="B130" s="156"/>
      <c r="C130" s="156"/>
      <c r="D130" s="159"/>
      <c r="E130" s="153">
        <v>110201</v>
      </c>
      <c r="F130" s="103">
        <f>2035.38+5.07+4.31</f>
        <v>2044.76</v>
      </c>
      <c r="G130" s="158"/>
    </row>
    <row r="131" spans="1:7" ht="24" customHeight="1">
      <c r="A131" s="155" t="s">
        <v>384</v>
      </c>
      <c r="B131" s="156"/>
      <c r="C131" s="156"/>
      <c r="D131" s="159"/>
      <c r="E131" s="153"/>
      <c r="F131" s="103">
        <f>565400-140000-1000-424400</f>
        <v>0</v>
      </c>
      <c r="G131" s="158"/>
    </row>
    <row r="132" spans="1:7" ht="24" customHeight="1">
      <c r="A132" s="155" t="s">
        <v>18</v>
      </c>
      <c r="B132" s="156"/>
      <c r="C132" s="156"/>
      <c r="D132" s="159"/>
      <c r="E132" s="153">
        <v>210402</v>
      </c>
      <c r="F132" s="160"/>
      <c r="G132" s="158">
        <f>794903-392500</f>
        <v>402403</v>
      </c>
    </row>
    <row r="133" spans="1:7" ht="24" customHeight="1">
      <c r="A133" s="155" t="s">
        <v>232</v>
      </c>
      <c r="B133" s="156"/>
      <c r="C133" s="156"/>
      <c r="D133" s="159"/>
      <c r="E133" s="153">
        <v>230102</v>
      </c>
      <c r="F133" s="160"/>
      <c r="G133" s="158">
        <f>4923.02-4923.02+13007.36</f>
        <v>13007.36</v>
      </c>
    </row>
    <row r="134" spans="1:7" ht="24" customHeight="1">
      <c r="A134" s="155" t="s">
        <v>252</v>
      </c>
      <c r="B134" s="156"/>
      <c r="C134" s="156"/>
      <c r="D134" s="159"/>
      <c r="E134" s="153">
        <v>230105</v>
      </c>
      <c r="F134" s="160"/>
      <c r="G134" s="158">
        <f>2299.34+3348.07</f>
        <v>5647.41</v>
      </c>
    </row>
    <row r="135" spans="1:7" ht="24" customHeight="1">
      <c r="A135" s="155" t="s">
        <v>253</v>
      </c>
      <c r="B135" s="156"/>
      <c r="C135" s="156"/>
      <c r="D135" s="159"/>
      <c r="E135" s="153">
        <v>230106</v>
      </c>
      <c r="F135" s="160"/>
      <c r="G135" s="158">
        <f>2723+119.38</f>
        <v>2842.38</v>
      </c>
    </row>
    <row r="136" spans="1:7" ht="24" customHeight="1">
      <c r="A136" s="155" t="s">
        <v>233</v>
      </c>
      <c r="B136" s="156"/>
      <c r="C136" s="156"/>
      <c r="D136" s="159"/>
      <c r="E136" s="153">
        <v>230108</v>
      </c>
      <c r="F136" s="160"/>
      <c r="G136" s="158">
        <f>429650-166200</f>
        <v>263450</v>
      </c>
    </row>
    <row r="137" spans="1:7" ht="24" customHeight="1">
      <c r="A137" s="155" t="s">
        <v>254</v>
      </c>
      <c r="B137" s="156"/>
      <c r="C137" s="156"/>
      <c r="D137" s="159"/>
      <c r="E137" s="153">
        <v>230116</v>
      </c>
      <c r="F137" s="160"/>
      <c r="G137" s="158">
        <v>178643.25</v>
      </c>
    </row>
    <row r="138" spans="1:7" ht="24" customHeight="1">
      <c r="A138" s="155" t="s">
        <v>255</v>
      </c>
      <c r="B138" s="156"/>
      <c r="C138" s="156"/>
      <c r="D138" s="159"/>
      <c r="E138" s="153">
        <v>230199</v>
      </c>
      <c r="F138" s="160"/>
      <c r="G138" s="158">
        <v>225</v>
      </c>
    </row>
    <row r="139" spans="1:7" ht="24" customHeight="1">
      <c r="A139" s="155" t="s">
        <v>256</v>
      </c>
      <c r="B139" s="156"/>
      <c r="C139" s="156"/>
      <c r="D139" s="159"/>
      <c r="E139" s="153">
        <v>230199</v>
      </c>
      <c r="F139" s="160"/>
      <c r="G139" s="158">
        <f>55725+335265+24450</f>
        <v>415440</v>
      </c>
    </row>
    <row r="140" spans="1:7" ht="24" customHeight="1">
      <c r="A140" s="155" t="s">
        <v>257</v>
      </c>
      <c r="B140" s="156"/>
      <c r="C140" s="156"/>
      <c r="D140" s="159"/>
      <c r="E140" s="153">
        <v>230199</v>
      </c>
      <c r="F140" s="160"/>
      <c r="G140" s="158">
        <v>228784.22</v>
      </c>
    </row>
    <row r="141" spans="1:7" ht="24" customHeight="1">
      <c r="A141" s="155" t="s">
        <v>258</v>
      </c>
      <c r="B141" s="156"/>
      <c r="C141" s="156"/>
      <c r="D141" s="159"/>
      <c r="E141" s="153">
        <v>230199</v>
      </c>
      <c r="F141" s="160"/>
      <c r="G141" s="158">
        <v>110.69</v>
      </c>
    </row>
    <row r="142" spans="1:7" ht="24" customHeight="1">
      <c r="A142" s="155" t="s">
        <v>38</v>
      </c>
      <c r="B142" s="156"/>
      <c r="C142" s="156"/>
      <c r="D142" s="164"/>
      <c r="E142" s="153">
        <v>310000</v>
      </c>
      <c r="F142" s="158"/>
      <c r="G142" s="163">
        <v>2788709</v>
      </c>
    </row>
    <row r="143" spans="1:7" ht="24" customHeight="1">
      <c r="A143" s="155" t="s">
        <v>76</v>
      </c>
      <c r="B143" s="156"/>
      <c r="C143" s="156"/>
      <c r="D143" s="159"/>
      <c r="E143" s="153">
        <v>320000</v>
      </c>
      <c r="F143" s="158"/>
      <c r="G143" s="163">
        <v>6149240.45</v>
      </c>
    </row>
    <row r="144" spans="1:7" ht="24" customHeight="1">
      <c r="A144" s="155" t="s">
        <v>227</v>
      </c>
      <c r="B144" s="156"/>
      <c r="C144" s="156"/>
      <c r="D144" s="159"/>
      <c r="E144" s="153">
        <v>412103</v>
      </c>
      <c r="F144" s="158"/>
      <c r="G144" s="163">
        <f>19.4+77.6</f>
        <v>97</v>
      </c>
    </row>
    <row r="145" spans="1:7" ht="24" customHeight="1">
      <c r="A145" s="155" t="s">
        <v>23</v>
      </c>
      <c r="B145" s="156"/>
      <c r="C145" s="156"/>
      <c r="D145" s="159"/>
      <c r="E145" s="153">
        <v>412106</v>
      </c>
      <c r="F145" s="158"/>
      <c r="G145" s="163">
        <f>1382+20</f>
        <v>1402</v>
      </c>
    </row>
    <row r="146" spans="1:7" ht="24" customHeight="1">
      <c r="A146" s="155" t="s">
        <v>385</v>
      </c>
      <c r="B146" s="156"/>
      <c r="C146" s="156"/>
      <c r="D146" s="159"/>
      <c r="E146" s="153"/>
      <c r="F146" s="158"/>
      <c r="G146" s="163">
        <v>50</v>
      </c>
    </row>
    <row r="147" spans="1:7" ht="24" customHeight="1">
      <c r="A147" s="155" t="s">
        <v>188</v>
      </c>
      <c r="B147" s="156"/>
      <c r="C147" s="156"/>
      <c r="D147" s="159"/>
      <c r="E147" s="153">
        <v>412210</v>
      </c>
      <c r="F147" s="158"/>
      <c r="G147" s="163">
        <f>1000+5900</f>
        <v>6900</v>
      </c>
    </row>
    <row r="148" spans="1:7" ht="24" customHeight="1">
      <c r="A148" s="155" t="s">
        <v>247</v>
      </c>
      <c r="B148" s="156"/>
      <c r="C148" s="156"/>
      <c r="D148" s="159"/>
      <c r="E148" s="153">
        <v>412307</v>
      </c>
      <c r="F148" s="247"/>
      <c r="G148" s="163">
        <v>1975</v>
      </c>
    </row>
    <row r="149" spans="1:7" ht="24" customHeight="1">
      <c r="A149" s="155" t="s">
        <v>27</v>
      </c>
      <c r="B149" s="156"/>
      <c r="C149" s="156"/>
      <c r="D149" s="164"/>
      <c r="E149" s="165">
        <v>415004</v>
      </c>
      <c r="F149" s="248"/>
      <c r="G149" s="75">
        <v>5200</v>
      </c>
    </row>
    <row r="150" spans="1:7" ht="24" customHeight="1">
      <c r="A150" s="155" t="s">
        <v>43</v>
      </c>
      <c r="B150" s="156"/>
      <c r="C150" s="156"/>
      <c r="D150" s="159"/>
      <c r="E150" s="161" t="s">
        <v>266</v>
      </c>
      <c r="F150" s="103"/>
      <c r="G150" s="75">
        <v>8169.4</v>
      </c>
    </row>
    <row r="151" spans="1:7" ht="24" customHeight="1">
      <c r="A151" s="155" t="s">
        <v>248</v>
      </c>
      <c r="B151" s="156"/>
      <c r="C151" s="156"/>
      <c r="D151" s="159"/>
      <c r="E151" s="165">
        <v>421307</v>
      </c>
      <c r="F151" s="75"/>
      <c r="G151" s="75">
        <f>1479825.59+732974.31</f>
        <v>2212799.9000000004</v>
      </c>
    </row>
    <row r="152" spans="1:7" ht="24" customHeight="1">
      <c r="A152" s="155" t="s">
        <v>249</v>
      </c>
      <c r="B152" s="156"/>
      <c r="C152" s="156"/>
      <c r="D152" s="159"/>
      <c r="E152" s="165">
        <v>421004</v>
      </c>
      <c r="F152" s="75"/>
      <c r="G152" s="166">
        <f>223111.55+111564.98</f>
        <v>334676.52999999997</v>
      </c>
    </row>
    <row r="153" spans="1:7" ht="24" customHeight="1">
      <c r="A153" s="155" t="s">
        <v>24</v>
      </c>
      <c r="B153" s="156"/>
      <c r="C153" s="156"/>
      <c r="D153" s="159"/>
      <c r="E153" s="165">
        <v>421005</v>
      </c>
      <c r="F153" s="75"/>
      <c r="G153" s="166">
        <f>8361.66+7503.48</f>
        <v>15865.14</v>
      </c>
    </row>
    <row r="154" spans="1:7" ht="24" customHeight="1">
      <c r="A154" s="155" t="s">
        <v>20</v>
      </c>
      <c r="B154" s="156"/>
      <c r="C154" s="156"/>
      <c r="D154" s="159"/>
      <c r="E154" s="165">
        <v>421006</v>
      </c>
      <c r="F154" s="75"/>
      <c r="G154" s="166">
        <f>104186.51+54104.3</f>
        <v>158290.81</v>
      </c>
    </row>
    <row r="155" spans="1:7" ht="24" customHeight="1">
      <c r="A155" s="155" t="s">
        <v>21</v>
      </c>
      <c r="B155" s="156"/>
      <c r="C155" s="156"/>
      <c r="D155" s="159"/>
      <c r="E155" s="165">
        <v>421007</v>
      </c>
      <c r="F155" s="75"/>
      <c r="G155" s="166">
        <f>275482.82+126002.78</f>
        <v>401485.6</v>
      </c>
    </row>
    <row r="156" spans="1:9" ht="24" customHeight="1">
      <c r="A156" s="155" t="s">
        <v>22</v>
      </c>
      <c r="B156" s="156"/>
      <c r="C156" s="156"/>
      <c r="D156" s="159"/>
      <c r="E156" s="165">
        <v>421013</v>
      </c>
      <c r="F156" s="75"/>
      <c r="G156" s="166">
        <v>5473.67</v>
      </c>
      <c r="I156" s="173"/>
    </row>
    <row r="157" spans="1:7" ht="24" customHeight="1">
      <c r="A157" s="155" t="s">
        <v>250</v>
      </c>
      <c r="B157" s="156"/>
      <c r="C157" s="156"/>
      <c r="D157" s="159"/>
      <c r="E157" s="165">
        <v>421015</v>
      </c>
      <c r="F157" s="75"/>
      <c r="G157" s="166">
        <f>22520+32955</f>
        <v>55475</v>
      </c>
    </row>
    <row r="158" spans="1:9" ht="24" customHeight="1">
      <c r="A158" s="155" t="s">
        <v>251</v>
      </c>
      <c r="B158" s="156"/>
      <c r="C158" s="156"/>
      <c r="D158" s="159"/>
      <c r="E158" s="165">
        <v>431002</v>
      </c>
      <c r="F158" s="75"/>
      <c r="G158" s="166">
        <v>3261953</v>
      </c>
      <c r="I158" s="173"/>
    </row>
    <row r="159" spans="1:7" ht="24" customHeight="1">
      <c r="A159" s="167"/>
      <c r="B159" s="168"/>
      <c r="C159" s="168"/>
      <c r="D159" s="169"/>
      <c r="E159" s="221"/>
      <c r="F159" s="222"/>
      <c r="G159" s="246"/>
    </row>
    <row r="160" spans="1:7" ht="24" customHeight="1">
      <c r="A160" s="156"/>
      <c r="B160" s="156"/>
      <c r="C160" s="156"/>
      <c r="D160" s="156"/>
      <c r="E160" s="218"/>
      <c r="F160" s="219"/>
      <c r="G160" s="220"/>
    </row>
    <row r="161" spans="1:7" ht="24" customHeight="1">
      <c r="A161" s="156"/>
      <c r="B161" s="156"/>
      <c r="C161" s="156"/>
      <c r="D161" s="156"/>
      <c r="E161" s="218"/>
      <c r="F161" s="219"/>
      <c r="G161" s="220"/>
    </row>
    <row r="162" spans="1:7" ht="24" customHeight="1" thickBot="1">
      <c r="A162" s="156"/>
      <c r="B162" s="156"/>
      <c r="C162" s="156"/>
      <c r="D162" s="156"/>
      <c r="E162" s="218">
        <v>-2</v>
      </c>
      <c r="F162" s="219"/>
      <c r="G162" s="220"/>
    </row>
    <row r="163" spans="1:9" ht="24" customHeight="1" thickBot="1">
      <c r="A163" s="340" t="s">
        <v>29</v>
      </c>
      <c r="B163" s="341"/>
      <c r="C163" s="341"/>
      <c r="D163" s="342"/>
      <c r="E163" s="223" t="s">
        <v>30</v>
      </c>
      <c r="F163" s="148" t="s">
        <v>31</v>
      </c>
      <c r="G163" s="244" t="s">
        <v>32</v>
      </c>
      <c r="I163" s="173"/>
    </row>
    <row r="164" spans="1:7" ht="24" customHeight="1">
      <c r="A164" s="155" t="s">
        <v>45</v>
      </c>
      <c r="B164" s="156"/>
      <c r="C164" s="156"/>
      <c r="D164" s="159"/>
      <c r="E164" s="161" t="s">
        <v>244</v>
      </c>
      <c r="F164" s="160">
        <f>1052281+571928+425400-65645-1000</f>
        <v>1982964</v>
      </c>
      <c r="G164" s="245"/>
    </row>
    <row r="165" spans="1:7" ht="24" customHeight="1">
      <c r="A165" s="155" t="s">
        <v>135</v>
      </c>
      <c r="B165" s="156"/>
      <c r="C165" s="156"/>
      <c r="D165" s="159"/>
      <c r="E165" s="162" t="s">
        <v>245</v>
      </c>
      <c r="F165" s="160">
        <f>414120+207060</f>
        <v>621180</v>
      </c>
      <c r="G165" s="68"/>
    </row>
    <row r="166" spans="1:7" ht="24" customHeight="1">
      <c r="A166" s="155" t="s">
        <v>107</v>
      </c>
      <c r="B166" s="156"/>
      <c r="C166" s="156"/>
      <c r="D166" s="159"/>
      <c r="E166" s="162" t="s">
        <v>136</v>
      </c>
      <c r="F166" s="160">
        <f>340780+340780+340780</f>
        <v>1022340</v>
      </c>
      <c r="G166" s="68"/>
    </row>
    <row r="167" spans="1:7" ht="24" customHeight="1">
      <c r="A167" s="155" t="s">
        <v>93</v>
      </c>
      <c r="B167" s="156"/>
      <c r="C167" s="156"/>
      <c r="D167" s="159"/>
      <c r="E167" s="162" t="s">
        <v>136</v>
      </c>
      <c r="F167" s="160">
        <f>13310+13310+13310</f>
        <v>39930</v>
      </c>
      <c r="G167" s="68"/>
    </row>
    <row r="168" spans="1:9" ht="24" customHeight="1">
      <c r="A168" s="155" t="s">
        <v>33</v>
      </c>
      <c r="B168" s="156"/>
      <c r="C168" s="156"/>
      <c r="D168" s="159"/>
      <c r="E168" s="162" t="s">
        <v>136</v>
      </c>
      <c r="F168" s="160">
        <f>147075+137075+148475</f>
        <v>432625</v>
      </c>
      <c r="G168" s="68"/>
      <c r="I168" s="173"/>
    </row>
    <row r="169" spans="1:9" ht="24" customHeight="1">
      <c r="A169" s="155" t="s">
        <v>80</v>
      </c>
      <c r="B169" s="156"/>
      <c r="C169" s="156"/>
      <c r="D169" s="159"/>
      <c r="E169" s="162" t="s">
        <v>137</v>
      </c>
      <c r="F169" s="158">
        <f>22515+20000</f>
        <v>42515</v>
      </c>
      <c r="G169" s="68"/>
      <c r="I169" s="173"/>
    </row>
    <row r="170" spans="1:9" ht="24" customHeight="1">
      <c r="A170" s="155" t="s">
        <v>81</v>
      </c>
      <c r="B170" s="156"/>
      <c r="C170" s="156"/>
      <c r="D170" s="159"/>
      <c r="E170" s="162" t="s">
        <v>138</v>
      </c>
      <c r="F170" s="158">
        <f>305709.29-0.9+140000+288958.85</f>
        <v>734667.24</v>
      </c>
      <c r="G170" s="68"/>
      <c r="I170" s="173"/>
    </row>
    <row r="171" spans="1:9" ht="24" customHeight="1">
      <c r="A171" s="70" t="s">
        <v>83</v>
      </c>
      <c r="B171" s="156"/>
      <c r="C171" s="156"/>
      <c r="D171" s="159"/>
      <c r="E171" s="162" t="s">
        <v>246</v>
      </c>
      <c r="F171" s="158">
        <f>90550+90929+65645</f>
        <v>247124</v>
      </c>
      <c r="G171" s="68"/>
      <c r="I171" s="173"/>
    </row>
    <row r="172" spans="1:9" ht="24" customHeight="1">
      <c r="A172" s="155" t="s">
        <v>34</v>
      </c>
      <c r="B172" s="156"/>
      <c r="C172" s="156"/>
      <c r="D172" s="159"/>
      <c r="E172" s="104">
        <v>534000</v>
      </c>
      <c r="F172" s="158">
        <f>14521.55+15448.29</f>
        <v>29969.84</v>
      </c>
      <c r="G172" s="163"/>
      <c r="I172" s="173"/>
    </row>
    <row r="173" spans="1:9" ht="24" customHeight="1">
      <c r="A173" s="155" t="s">
        <v>35</v>
      </c>
      <c r="B173" s="156"/>
      <c r="C173" s="156"/>
      <c r="D173" s="159"/>
      <c r="E173" s="153">
        <v>561000</v>
      </c>
      <c r="F173" s="75">
        <v>273000</v>
      </c>
      <c r="G173" s="166"/>
      <c r="I173" s="173"/>
    </row>
    <row r="174" spans="1:9" ht="24" customHeight="1">
      <c r="A174" s="155"/>
      <c r="B174" s="156"/>
      <c r="C174" s="156"/>
      <c r="D174" s="159"/>
      <c r="E174" s="165"/>
      <c r="F174" s="75"/>
      <c r="G174" s="166"/>
      <c r="I174" s="173"/>
    </row>
    <row r="175" spans="1:9" ht="24" customHeight="1">
      <c r="A175" s="155"/>
      <c r="B175" s="156"/>
      <c r="C175" s="156"/>
      <c r="D175" s="159"/>
      <c r="E175" s="165"/>
      <c r="F175" s="75"/>
      <c r="G175" s="166"/>
      <c r="I175" s="173"/>
    </row>
    <row r="176" spans="1:9" ht="24" customHeight="1">
      <c r="A176" s="155"/>
      <c r="B176" s="156"/>
      <c r="C176" s="156"/>
      <c r="D176" s="159"/>
      <c r="E176" s="165"/>
      <c r="F176" s="75"/>
      <c r="G176" s="166"/>
      <c r="I176" s="173"/>
    </row>
    <row r="177" spans="1:9" ht="24" customHeight="1">
      <c r="A177" s="155"/>
      <c r="B177" s="156"/>
      <c r="C177" s="156"/>
      <c r="D177" s="159"/>
      <c r="E177" s="165"/>
      <c r="F177" s="75"/>
      <c r="G177" s="166"/>
      <c r="I177" s="173"/>
    </row>
    <row r="178" spans="1:9" ht="24" customHeight="1">
      <c r="A178" s="155"/>
      <c r="B178" s="156"/>
      <c r="C178" s="156"/>
      <c r="D178" s="159"/>
      <c r="E178" s="165"/>
      <c r="F178" s="75"/>
      <c r="G178" s="166"/>
      <c r="I178" s="173"/>
    </row>
    <row r="179" spans="1:9" ht="24" customHeight="1">
      <c r="A179" s="155"/>
      <c r="B179" s="156"/>
      <c r="C179" s="156"/>
      <c r="D179" s="159"/>
      <c r="E179" s="165"/>
      <c r="F179" s="75"/>
      <c r="G179" s="166"/>
      <c r="I179" s="173"/>
    </row>
    <row r="180" spans="1:9" ht="24" customHeight="1">
      <c r="A180" s="155"/>
      <c r="B180" s="156"/>
      <c r="C180" s="156"/>
      <c r="D180" s="159"/>
      <c r="E180" s="165"/>
      <c r="F180" s="75"/>
      <c r="G180" s="166"/>
      <c r="I180" s="173"/>
    </row>
    <row r="181" spans="1:9" ht="24" customHeight="1">
      <c r="A181" s="155"/>
      <c r="B181" s="156"/>
      <c r="C181" s="156"/>
      <c r="D181" s="159"/>
      <c r="E181" s="165"/>
      <c r="F181" s="75"/>
      <c r="G181" s="246"/>
      <c r="I181" s="173"/>
    </row>
    <row r="182" spans="1:9" ht="24" customHeight="1" thickBot="1">
      <c r="A182" s="224"/>
      <c r="B182" s="225"/>
      <c r="C182" s="225"/>
      <c r="D182" s="226"/>
      <c r="E182" s="227"/>
      <c r="F182" s="171">
        <f>SUM(F128:F181)</f>
        <v>16918315.810000002</v>
      </c>
      <c r="G182" s="172">
        <f>SUM(G127:G181)</f>
        <v>16918315.810000002</v>
      </c>
      <c r="I182" s="173"/>
    </row>
    <row r="183" ht="24" customHeight="1" thickTop="1">
      <c r="I183" s="173"/>
    </row>
    <row r="184" ht="24" customHeight="1">
      <c r="I184" s="173"/>
    </row>
    <row r="185" ht="24" customHeight="1">
      <c r="I185" s="173"/>
    </row>
    <row r="186" ht="24" customHeight="1">
      <c r="I186" s="173"/>
    </row>
    <row r="187" spans="1:9" ht="24" customHeight="1">
      <c r="A187" s="174" t="s">
        <v>0</v>
      </c>
      <c r="D187" s="175" t="s">
        <v>184</v>
      </c>
      <c r="F187" s="174" t="s">
        <v>181</v>
      </c>
      <c r="I187" s="173"/>
    </row>
    <row r="188" spans="1:9" ht="24" customHeight="1">
      <c r="A188" s="174" t="s">
        <v>165</v>
      </c>
      <c r="D188" s="174" t="s">
        <v>185</v>
      </c>
      <c r="F188" s="174" t="s">
        <v>182</v>
      </c>
      <c r="I188" s="173"/>
    </row>
    <row r="189" spans="1:9" ht="24" customHeight="1">
      <c r="A189" s="174" t="s">
        <v>179</v>
      </c>
      <c r="D189" s="174" t="s">
        <v>186</v>
      </c>
      <c r="F189" s="174" t="s">
        <v>183</v>
      </c>
      <c r="I189" s="173"/>
    </row>
    <row r="190" spans="1:9" ht="24" customHeight="1">
      <c r="A190" s="174" t="s">
        <v>1</v>
      </c>
      <c r="I190" s="173"/>
    </row>
    <row r="191" ht="24" customHeight="1">
      <c r="I191" s="173"/>
    </row>
    <row r="192" ht="24" customHeight="1">
      <c r="I192" s="173"/>
    </row>
    <row r="193" ht="24" customHeight="1">
      <c r="I193" s="173"/>
    </row>
    <row r="194" spans="9:10" ht="24" customHeight="1">
      <c r="I194" s="173"/>
      <c r="J194" s="173"/>
    </row>
    <row r="195" ht="24" customHeight="1">
      <c r="I195" s="173"/>
    </row>
    <row r="203" spans="1:9" ht="27.75" customHeight="1">
      <c r="A203" s="335" t="s">
        <v>13</v>
      </c>
      <c r="B203" s="335"/>
      <c r="C203" s="335"/>
      <c r="D203" s="335"/>
      <c r="E203" s="335"/>
      <c r="F203" s="335"/>
      <c r="G203" s="335"/>
      <c r="I203" s="173"/>
    </row>
    <row r="204" spans="1:7" ht="20.25" customHeight="1">
      <c r="A204" s="336" t="s">
        <v>115</v>
      </c>
      <c r="B204" s="336"/>
      <c r="C204" s="336"/>
      <c r="D204" s="336"/>
      <c r="E204" s="336"/>
      <c r="F204" s="336"/>
      <c r="G204" s="336"/>
    </row>
    <row r="205" spans="1:7" ht="23.25" customHeight="1">
      <c r="A205" s="147"/>
      <c r="B205" s="147"/>
      <c r="C205" s="147"/>
      <c r="D205" s="337" t="s">
        <v>267</v>
      </c>
      <c r="E205" s="337"/>
      <c r="F205" s="337"/>
      <c r="G205" s="147"/>
    </row>
    <row r="206" spans="1:7" ht="23.25" customHeight="1" thickBot="1">
      <c r="A206" s="336" t="s">
        <v>405</v>
      </c>
      <c r="B206" s="336"/>
      <c r="C206" s="336"/>
      <c r="D206" s="336"/>
      <c r="E206" s="336"/>
      <c r="F206" s="336"/>
      <c r="G206" s="336"/>
    </row>
    <row r="207" spans="1:7" ht="23.25" customHeight="1" thickBot="1">
      <c r="A207" s="338" t="s">
        <v>29</v>
      </c>
      <c r="B207" s="339"/>
      <c r="C207" s="339"/>
      <c r="D207" s="339"/>
      <c r="E207" s="148" t="s">
        <v>30</v>
      </c>
      <c r="F207" s="148" t="s">
        <v>31</v>
      </c>
      <c r="G207" s="149" t="s">
        <v>32</v>
      </c>
    </row>
    <row r="208" spans="1:7" ht="24" customHeight="1">
      <c r="A208" s="150" t="s">
        <v>108</v>
      </c>
      <c r="B208" s="151"/>
      <c r="C208" s="151"/>
      <c r="D208" s="152"/>
      <c r="E208" s="153">
        <v>110100</v>
      </c>
      <c r="F208" s="102">
        <v>0</v>
      </c>
      <c r="G208" s="154"/>
    </row>
    <row r="209" spans="1:7" ht="24" customHeight="1">
      <c r="A209" s="155" t="s">
        <v>133</v>
      </c>
      <c r="B209" s="156"/>
      <c r="C209" s="156"/>
      <c r="D209" s="157"/>
      <c r="E209" s="153">
        <v>110201</v>
      </c>
      <c r="F209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+1070-2409103.19+30308.75+3608605.74</f>
        <v>12490983.05</v>
      </c>
      <c r="G209" s="158"/>
    </row>
    <row r="210" spans="1:7" ht="24" customHeight="1">
      <c r="A210" s="155" t="s">
        <v>11</v>
      </c>
      <c r="B210" s="156"/>
      <c r="C210" s="156"/>
      <c r="D210" s="159"/>
      <c r="E210" s="153">
        <v>110201</v>
      </c>
      <c r="F210" s="75">
        <f>167913.88+430.42+100000+220000-300000+30000+100000-100000+10439.92-100000+100000</f>
        <v>228784.22000000006</v>
      </c>
      <c r="G210" s="158"/>
    </row>
    <row r="211" spans="1:7" ht="24" customHeight="1">
      <c r="A211" s="155" t="s">
        <v>82</v>
      </c>
      <c r="B211" s="156"/>
      <c r="C211" s="156"/>
      <c r="D211" s="159"/>
      <c r="E211" s="153">
        <v>110201</v>
      </c>
      <c r="F211" s="103">
        <f>2035.38+5.07+4.31</f>
        <v>2044.76</v>
      </c>
      <c r="G211" s="158"/>
    </row>
    <row r="212" spans="1:7" ht="24" customHeight="1">
      <c r="A212" s="155" t="s">
        <v>384</v>
      </c>
      <c r="B212" s="156"/>
      <c r="C212" s="156"/>
      <c r="D212" s="159"/>
      <c r="E212" s="153"/>
      <c r="F212" s="103">
        <f>426000-2400-1600-422000</f>
        <v>0</v>
      </c>
      <c r="G212" s="158"/>
    </row>
    <row r="213" spans="1:7" ht="24" customHeight="1">
      <c r="A213" s="155" t="s">
        <v>18</v>
      </c>
      <c r="B213" s="156"/>
      <c r="C213" s="156"/>
      <c r="D213" s="159"/>
      <c r="E213" s="153">
        <v>210402</v>
      </c>
      <c r="F213" s="160"/>
      <c r="G213" s="158">
        <f>794903-392500-17238.5</f>
        <v>385164.5</v>
      </c>
    </row>
    <row r="214" spans="1:7" ht="24" customHeight="1">
      <c r="A214" s="155" t="s">
        <v>232</v>
      </c>
      <c r="B214" s="156"/>
      <c r="C214" s="156"/>
      <c r="D214" s="159"/>
      <c r="E214" s="153">
        <v>230102</v>
      </c>
      <c r="F214" s="160"/>
      <c r="G214" s="158">
        <f>4923.02-4923.02+13007.36-13007.36+2476.64+500</f>
        <v>2976.64</v>
      </c>
    </row>
    <row r="215" spans="1:7" ht="24" customHeight="1">
      <c r="A215" s="155" t="s">
        <v>252</v>
      </c>
      <c r="B215" s="156"/>
      <c r="C215" s="156"/>
      <c r="D215" s="159"/>
      <c r="E215" s="153">
        <v>230105</v>
      </c>
      <c r="F215" s="160"/>
      <c r="G215" s="158">
        <f>2299.34+3348.07</f>
        <v>5647.41</v>
      </c>
    </row>
    <row r="216" spans="1:7" ht="24" customHeight="1">
      <c r="A216" s="155" t="s">
        <v>253</v>
      </c>
      <c r="B216" s="156"/>
      <c r="C216" s="156"/>
      <c r="D216" s="159"/>
      <c r="E216" s="153">
        <v>230106</v>
      </c>
      <c r="F216" s="160"/>
      <c r="G216" s="158">
        <f>2723+119.38-2842.38+639.93</f>
        <v>639.93</v>
      </c>
    </row>
    <row r="217" spans="1:7" ht="24" customHeight="1">
      <c r="A217" s="155" t="s">
        <v>233</v>
      </c>
      <c r="B217" s="156"/>
      <c r="C217" s="156"/>
      <c r="D217" s="159"/>
      <c r="E217" s="153">
        <v>230108</v>
      </c>
      <c r="F217" s="160"/>
      <c r="G217" s="158">
        <f>429650-166200-263450</f>
        <v>0</v>
      </c>
    </row>
    <row r="218" spans="1:7" ht="24" customHeight="1">
      <c r="A218" s="155" t="s">
        <v>254</v>
      </c>
      <c r="B218" s="156"/>
      <c r="C218" s="156"/>
      <c r="D218" s="159"/>
      <c r="E218" s="153">
        <v>230116</v>
      </c>
      <c r="F218" s="160"/>
      <c r="G218" s="158">
        <v>178643.25</v>
      </c>
    </row>
    <row r="219" spans="1:7" ht="24" customHeight="1">
      <c r="A219" s="155" t="s">
        <v>255</v>
      </c>
      <c r="B219" s="156"/>
      <c r="C219" s="156"/>
      <c r="D219" s="159"/>
      <c r="E219" s="153">
        <v>230199</v>
      </c>
      <c r="F219" s="160"/>
      <c r="G219" s="158">
        <v>225</v>
      </c>
    </row>
    <row r="220" spans="1:7" ht="24" customHeight="1">
      <c r="A220" s="155" t="s">
        <v>256</v>
      </c>
      <c r="B220" s="156"/>
      <c r="C220" s="156"/>
      <c r="D220" s="159"/>
      <c r="E220" s="153">
        <v>230199</v>
      </c>
      <c r="F220" s="160"/>
      <c r="G220" s="158">
        <f>55725+335265+24450+13875</f>
        <v>429315</v>
      </c>
    </row>
    <row r="221" spans="1:7" ht="24" customHeight="1">
      <c r="A221" s="155" t="s">
        <v>257</v>
      </c>
      <c r="B221" s="156"/>
      <c r="C221" s="156"/>
      <c r="D221" s="159"/>
      <c r="E221" s="153">
        <v>230199</v>
      </c>
      <c r="F221" s="160"/>
      <c r="G221" s="158">
        <v>228784.22</v>
      </c>
    </row>
    <row r="222" spans="1:7" ht="24" customHeight="1">
      <c r="A222" s="155" t="s">
        <v>258</v>
      </c>
      <c r="B222" s="156"/>
      <c r="C222" s="156"/>
      <c r="D222" s="159"/>
      <c r="E222" s="153">
        <v>230199</v>
      </c>
      <c r="F222" s="160"/>
      <c r="G222" s="158">
        <v>110.69</v>
      </c>
    </row>
    <row r="223" spans="1:7" ht="24" customHeight="1">
      <c r="A223" s="155" t="s">
        <v>38</v>
      </c>
      <c r="B223" s="156"/>
      <c r="C223" s="156"/>
      <c r="D223" s="164"/>
      <c r="E223" s="153">
        <v>310000</v>
      </c>
      <c r="F223" s="158"/>
      <c r="G223" s="163">
        <v>2788709</v>
      </c>
    </row>
    <row r="224" spans="1:7" ht="24" customHeight="1">
      <c r="A224" s="155" t="s">
        <v>76</v>
      </c>
      <c r="B224" s="156"/>
      <c r="C224" s="156"/>
      <c r="D224" s="159"/>
      <c r="E224" s="153">
        <v>320000</v>
      </c>
      <c r="F224" s="158"/>
      <c r="G224" s="163">
        <v>6149240.45</v>
      </c>
    </row>
    <row r="225" spans="1:7" ht="24" customHeight="1">
      <c r="A225" s="155" t="s">
        <v>172</v>
      </c>
      <c r="B225" s="156"/>
      <c r="C225" s="156"/>
      <c r="D225" s="159"/>
      <c r="E225" s="153">
        <v>411001</v>
      </c>
      <c r="F225" s="158"/>
      <c r="G225" s="163">
        <v>1275.5</v>
      </c>
    </row>
    <row r="226" spans="1:7" ht="24" customHeight="1">
      <c r="A226" s="155" t="s">
        <v>19</v>
      </c>
      <c r="B226" s="156"/>
      <c r="C226" s="156"/>
      <c r="D226" s="159"/>
      <c r="E226" s="153">
        <v>411002</v>
      </c>
      <c r="F226" s="158"/>
      <c r="G226" s="163">
        <v>10018.32</v>
      </c>
    </row>
    <row r="227" spans="1:7" ht="24" customHeight="1">
      <c r="A227" s="155" t="s">
        <v>198</v>
      </c>
      <c r="B227" s="156"/>
      <c r="C227" s="156"/>
      <c r="D227" s="159"/>
      <c r="E227" s="153">
        <v>412303</v>
      </c>
      <c r="F227" s="158"/>
      <c r="G227" s="163">
        <v>500</v>
      </c>
    </row>
    <row r="228" spans="1:7" ht="24" customHeight="1">
      <c r="A228" s="155" t="s">
        <v>227</v>
      </c>
      <c r="B228" s="156"/>
      <c r="C228" s="156"/>
      <c r="D228" s="159"/>
      <c r="E228" s="153">
        <v>412103</v>
      </c>
      <c r="F228" s="158"/>
      <c r="G228" s="163">
        <f>19.4+77.6</f>
        <v>97</v>
      </c>
    </row>
    <row r="229" spans="1:7" ht="24" customHeight="1">
      <c r="A229" s="155" t="s">
        <v>23</v>
      </c>
      <c r="B229" s="156"/>
      <c r="C229" s="156"/>
      <c r="D229" s="159"/>
      <c r="E229" s="153">
        <v>412106</v>
      </c>
      <c r="F229" s="158"/>
      <c r="G229" s="163">
        <f>1382+20</f>
        <v>1402</v>
      </c>
    </row>
    <row r="230" spans="1:7" ht="24" customHeight="1">
      <c r="A230" s="155" t="s">
        <v>385</v>
      </c>
      <c r="B230" s="156"/>
      <c r="C230" s="156"/>
      <c r="D230" s="159"/>
      <c r="E230" s="153">
        <v>412128</v>
      </c>
      <c r="F230" s="158"/>
      <c r="G230" s="163">
        <v>50</v>
      </c>
    </row>
    <row r="231" spans="1:7" ht="24" customHeight="1">
      <c r="A231" s="155" t="s">
        <v>188</v>
      </c>
      <c r="B231" s="156"/>
      <c r="C231" s="156"/>
      <c r="D231" s="159"/>
      <c r="E231" s="153">
        <v>412210</v>
      </c>
      <c r="F231" s="158"/>
      <c r="G231" s="163">
        <f>1000+5900</f>
        <v>6900</v>
      </c>
    </row>
    <row r="232" spans="1:7" ht="24" customHeight="1">
      <c r="A232" s="155" t="s">
        <v>247</v>
      </c>
      <c r="B232" s="156"/>
      <c r="C232" s="156"/>
      <c r="D232" s="159"/>
      <c r="E232" s="153">
        <v>412307</v>
      </c>
      <c r="F232" s="247"/>
      <c r="G232" s="163">
        <v>1975</v>
      </c>
    </row>
    <row r="233" spans="1:7" ht="24" customHeight="1">
      <c r="A233" s="155" t="s">
        <v>27</v>
      </c>
      <c r="B233" s="156"/>
      <c r="C233" s="156"/>
      <c r="D233" s="164"/>
      <c r="E233" s="165">
        <v>415004</v>
      </c>
      <c r="F233" s="248"/>
      <c r="G233" s="75">
        <v>5200</v>
      </c>
    </row>
    <row r="234" spans="1:7" ht="24" customHeight="1">
      <c r="A234" s="155" t="s">
        <v>43</v>
      </c>
      <c r="B234" s="156"/>
      <c r="C234" s="156"/>
      <c r="D234" s="159"/>
      <c r="E234" s="161" t="s">
        <v>266</v>
      </c>
      <c r="F234" s="103"/>
      <c r="G234" s="75">
        <v>8169.4</v>
      </c>
    </row>
    <row r="235" spans="1:7" ht="24" customHeight="1">
      <c r="A235" s="155" t="s">
        <v>248</v>
      </c>
      <c r="B235" s="156"/>
      <c r="C235" s="156"/>
      <c r="D235" s="159"/>
      <c r="E235" s="165">
        <v>421307</v>
      </c>
      <c r="F235" s="75"/>
      <c r="G235" s="75">
        <f>1479825.59+732974.31</f>
        <v>2212799.9000000004</v>
      </c>
    </row>
    <row r="236" spans="1:7" ht="24" customHeight="1">
      <c r="A236" s="155" t="s">
        <v>249</v>
      </c>
      <c r="B236" s="156"/>
      <c r="C236" s="156"/>
      <c r="D236" s="159"/>
      <c r="E236" s="165">
        <v>421004</v>
      </c>
      <c r="F236" s="75"/>
      <c r="G236" s="166">
        <f>223111.55+111564.98+143657.5</f>
        <v>478334.02999999997</v>
      </c>
    </row>
    <row r="237" spans="1:7" ht="24" customHeight="1">
      <c r="A237" s="155" t="s">
        <v>24</v>
      </c>
      <c r="B237" s="156"/>
      <c r="C237" s="156"/>
      <c r="D237" s="159"/>
      <c r="E237" s="165">
        <v>421005</v>
      </c>
      <c r="F237" s="75"/>
      <c r="G237" s="166">
        <f>8361.66+7503.48+5991.83</f>
        <v>21856.97</v>
      </c>
    </row>
    <row r="238" spans="1:7" ht="24" customHeight="1">
      <c r="A238" s="155" t="s">
        <v>20</v>
      </c>
      <c r="B238" s="156"/>
      <c r="C238" s="156"/>
      <c r="D238" s="159"/>
      <c r="E238" s="165">
        <v>421006</v>
      </c>
      <c r="F238" s="75"/>
      <c r="G238" s="166">
        <f>104186.51+54104.3+77347.6</f>
        <v>235638.41</v>
      </c>
    </row>
    <row r="239" spans="1:7" ht="24" customHeight="1">
      <c r="A239" s="155" t="s">
        <v>21</v>
      </c>
      <c r="B239" s="156"/>
      <c r="C239" s="156"/>
      <c r="D239" s="159"/>
      <c r="E239" s="165">
        <v>421007</v>
      </c>
      <c r="F239" s="75"/>
      <c r="G239" s="166">
        <f>275482.82+126002.78+160661.4</f>
        <v>562147</v>
      </c>
    </row>
    <row r="240" spans="1:9" ht="24" customHeight="1">
      <c r="A240" s="155" t="s">
        <v>22</v>
      </c>
      <c r="B240" s="156"/>
      <c r="C240" s="156"/>
      <c r="D240" s="159"/>
      <c r="E240" s="165">
        <v>421013</v>
      </c>
      <c r="F240" s="75"/>
      <c r="G240" s="166">
        <f>5473.67+5110.41</f>
        <v>10584.08</v>
      </c>
      <c r="I240" s="173"/>
    </row>
    <row r="241" spans="1:7" ht="24" customHeight="1">
      <c r="A241" s="155" t="s">
        <v>250</v>
      </c>
      <c r="B241" s="156"/>
      <c r="C241" s="156"/>
      <c r="D241" s="159"/>
      <c r="E241" s="165">
        <v>421015</v>
      </c>
      <c r="F241" s="75"/>
      <c r="G241" s="166">
        <f>22520+32955+53903</f>
        <v>109378</v>
      </c>
    </row>
    <row r="242" spans="1:9" ht="24" customHeight="1">
      <c r="A242" s="155" t="s">
        <v>251</v>
      </c>
      <c r="B242" s="156"/>
      <c r="C242" s="156"/>
      <c r="D242" s="159"/>
      <c r="E242" s="165">
        <v>431002</v>
      </c>
      <c r="F242" s="75"/>
      <c r="G242" s="166">
        <v>6423887</v>
      </c>
      <c r="I242" s="173"/>
    </row>
    <row r="243" spans="1:7" ht="24" customHeight="1">
      <c r="A243" s="167"/>
      <c r="B243" s="168"/>
      <c r="C243" s="168"/>
      <c r="D243" s="169"/>
      <c r="E243" s="221"/>
      <c r="F243" s="222"/>
      <c r="G243" s="246"/>
    </row>
    <row r="244" spans="1:7" ht="24" customHeight="1">
      <c r="A244" s="156"/>
      <c r="B244" s="156"/>
      <c r="C244" s="156"/>
      <c r="D244" s="156"/>
      <c r="E244" s="218"/>
      <c r="F244" s="219"/>
      <c r="G244" s="220"/>
    </row>
    <row r="245" spans="1:7" ht="24" customHeight="1">
      <c r="A245" s="156"/>
      <c r="B245" s="156"/>
      <c r="C245" s="156"/>
      <c r="D245" s="156"/>
      <c r="E245" s="218"/>
      <c r="F245" s="219"/>
      <c r="G245" s="220"/>
    </row>
    <row r="246" spans="1:7" ht="24" customHeight="1" thickBot="1">
      <c r="A246" s="156"/>
      <c r="B246" s="156"/>
      <c r="C246" s="156"/>
      <c r="D246" s="156"/>
      <c r="E246" s="218">
        <v>-2</v>
      </c>
      <c r="F246" s="219"/>
      <c r="G246" s="220"/>
    </row>
    <row r="247" spans="1:9" ht="24" customHeight="1" thickBot="1">
      <c r="A247" s="340" t="s">
        <v>29</v>
      </c>
      <c r="B247" s="341"/>
      <c r="C247" s="341"/>
      <c r="D247" s="342"/>
      <c r="E247" s="223" t="s">
        <v>30</v>
      </c>
      <c r="F247" s="148" t="s">
        <v>31</v>
      </c>
      <c r="G247" s="244" t="s">
        <v>32</v>
      </c>
      <c r="I247" s="173"/>
    </row>
    <row r="248" spans="1:7" ht="24" customHeight="1">
      <c r="A248" s="155" t="s">
        <v>45</v>
      </c>
      <c r="B248" s="156"/>
      <c r="C248" s="156"/>
      <c r="D248" s="159"/>
      <c r="E248" s="161" t="s">
        <v>244</v>
      </c>
      <c r="F248" s="160">
        <f>1052281+571928+425400-65645-1000+167283+422000</f>
        <v>2572247</v>
      </c>
      <c r="G248" s="245"/>
    </row>
    <row r="249" spans="1:7" ht="24" customHeight="1">
      <c r="A249" s="155" t="s">
        <v>135</v>
      </c>
      <c r="B249" s="156"/>
      <c r="C249" s="156"/>
      <c r="D249" s="159"/>
      <c r="E249" s="162" t="s">
        <v>245</v>
      </c>
      <c r="F249" s="160">
        <f>414120+207060+207060</f>
        <v>828240</v>
      </c>
      <c r="G249" s="68"/>
    </row>
    <row r="250" spans="1:7" ht="24" customHeight="1">
      <c r="A250" s="155" t="s">
        <v>107</v>
      </c>
      <c r="B250" s="156"/>
      <c r="C250" s="156"/>
      <c r="D250" s="159"/>
      <c r="E250" s="162" t="s">
        <v>136</v>
      </c>
      <c r="F250" s="160">
        <f>340780+340780+340780+341490</f>
        <v>1363830</v>
      </c>
      <c r="G250" s="68"/>
    </row>
    <row r="251" spans="1:7" ht="24" customHeight="1">
      <c r="A251" s="155" t="s">
        <v>93</v>
      </c>
      <c r="B251" s="156"/>
      <c r="C251" s="156"/>
      <c r="D251" s="159"/>
      <c r="E251" s="162" t="s">
        <v>136</v>
      </c>
      <c r="F251" s="160">
        <f>13310+13310+13310+13310</f>
        <v>53240</v>
      </c>
      <c r="G251" s="68"/>
    </row>
    <row r="252" spans="1:9" ht="24" customHeight="1">
      <c r="A252" s="155" t="s">
        <v>33</v>
      </c>
      <c r="B252" s="156"/>
      <c r="C252" s="156"/>
      <c r="D252" s="159"/>
      <c r="E252" s="162" t="s">
        <v>136</v>
      </c>
      <c r="F252" s="160">
        <f>147075+137075+148475+148475</f>
        <v>581100</v>
      </c>
      <c r="G252" s="68"/>
      <c r="I252" s="173"/>
    </row>
    <row r="253" spans="1:9" ht="24" customHeight="1">
      <c r="A253" s="155" t="s">
        <v>80</v>
      </c>
      <c r="B253" s="156"/>
      <c r="C253" s="156"/>
      <c r="D253" s="159"/>
      <c r="E253" s="162" t="s">
        <v>137</v>
      </c>
      <c r="F253" s="158">
        <f>22515+20000+9930</f>
        <v>52445</v>
      </c>
      <c r="G253" s="68"/>
      <c r="I253" s="173"/>
    </row>
    <row r="254" spans="1:9" ht="24" customHeight="1">
      <c r="A254" s="155" t="s">
        <v>81</v>
      </c>
      <c r="B254" s="156"/>
      <c r="C254" s="156"/>
      <c r="D254" s="159"/>
      <c r="E254" s="162" t="s">
        <v>138</v>
      </c>
      <c r="F254" s="158">
        <f>305709.29-0.9+140000+288958.85+220010</f>
        <v>954677.24</v>
      </c>
      <c r="G254" s="68"/>
      <c r="I254" s="173"/>
    </row>
    <row r="255" spans="1:9" ht="24" customHeight="1">
      <c r="A255" s="70" t="s">
        <v>83</v>
      </c>
      <c r="B255" s="156"/>
      <c r="C255" s="156"/>
      <c r="D255" s="159"/>
      <c r="E255" s="162" t="s">
        <v>246</v>
      </c>
      <c r="F255" s="158">
        <f>90550+90929+65645+221628.39</f>
        <v>468752.39</v>
      </c>
      <c r="G255" s="68"/>
      <c r="I255" s="173"/>
    </row>
    <row r="256" spans="1:9" ht="24" customHeight="1">
      <c r="A256" s="155" t="s">
        <v>34</v>
      </c>
      <c r="B256" s="156"/>
      <c r="C256" s="156"/>
      <c r="D256" s="159"/>
      <c r="E256" s="104">
        <v>534000</v>
      </c>
      <c r="F256" s="158">
        <f>14521.55+15448.29+22732.73</f>
        <v>52702.57</v>
      </c>
      <c r="G256" s="163"/>
      <c r="I256" s="173"/>
    </row>
    <row r="257" spans="1:9" ht="24" customHeight="1">
      <c r="A257" s="155" t="s">
        <v>35</v>
      </c>
      <c r="B257" s="156"/>
      <c r="C257" s="156"/>
      <c r="D257" s="159"/>
      <c r="E257" s="153">
        <v>561000</v>
      </c>
      <c r="F257" s="75">
        <f>273000+330522.47</f>
        <v>603522.47</v>
      </c>
      <c r="G257" s="166"/>
      <c r="I257" s="173"/>
    </row>
    <row r="258" spans="1:9" ht="24" customHeight="1">
      <c r="A258" s="155" t="s">
        <v>406</v>
      </c>
      <c r="B258" s="156"/>
      <c r="C258" s="156"/>
      <c r="D258" s="159"/>
      <c r="E258" s="165">
        <v>541000</v>
      </c>
      <c r="F258" s="75">
        <v>7100</v>
      </c>
      <c r="G258" s="166"/>
      <c r="I258" s="173"/>
    </row>
    <row r="259" spans="1:9" ht="24" customHeight="1">
      <c r="A259" s="155"/>
      <c r="B259" s="156"/>
      <c r="C259" s="156"/>
      <c r="D259" s="159"/>
      <c r="E259" s="165"/>
      <c r="F259" s="75"/>
      <c r="G259" s="166"/>
      <c r="I259" s="173"/>
    </row>
    <row r="260" spans="1:9" ht="24" customHeight="1">
      <c r="A260" s="155"/>
      <c r="B260" s="156"/>
      <c r="C260" s="156"/>
      <c r="D260" s="159"/>
      <c r="E260" s="165"/>
      <c r="F260" s="75"/>
      <c r="G260" s="166"/>
      <c r="I260" s="173"/>
    </row>
    <row r="261" spans="1:9" ht="24" customHeight="1">
      <c r="A261" s="155"/>
      <c r="B261" s="156"/>
      <c r="C261" s="156"/>
      <c r="D261" s="159"/>
      <c r="E261" s="165"/>
      <c r="F261" s="75"/>
      <c r="G261" s="166"/>
      <c r="I261" s="173"/>
    </row>
    <row r="262" spans="1:9" ht="24" customHeight="1">
      <c r="A262" s="155"/>
      <c r="B262" s="156"/>
      <c r="C262" s="156"/>
      <c r="D262" s="159"/>
      <c r="E262" s="165"/>
      <c r="F262" s="75"/>
      <c r="G262" s="166"/>
      <c r="I262" s="173"/>
    </row>
    <row r="263" spans="1:9" ht="24" customHeight="1">
      <c r="A263" s="155"/>
      <c r="B263" s="156"/>
      <c r="C263" s="156"/>
      <c r="D263" s="159"/>
      <c r="E263" s="165"/>
      <c r="F263" s="75"/>
      <c r="G263" s="166"/>
      <c r="I263" s="173"/>
    </row>
    <row r="264" spans="1:9" ht="24" customHeight="1">
      <c r="A264" s="155"/>
      <c r="B264" s="156"/>
      <c r="C264" s="156"/>
      <c r="D264" s="159"/>
      <c r="E264" s="165"/>
      <c r="F264" s="75"/>
      <c r="G264" s="166"/>
      <c r="I264" s="173"/>
    </row>
    <row r="265" spans="1:9" ht="24" customHeight="1">
      <c r="A265" s="155"/>
      <c r="B265" s="156"/>
      <c r="C265" s="156"/>
      <c r="D265" s="159"/>
      <c r="E265" s="165"/>
      <c r="F265" s="75"/>
      <c r="G265" s="246"/>
      <c r="I265" s="173"/>
    </row>
    <row r="266" spans="1:9" ht="24" customHeight="1" thickBot="1">
      <c r="A266" s="224"/>
      <c r="B266" s="225"/>
      <c r="C266" s="225"/>
      <c r="D266" s="226"/>
      <c r="E266" s="227"/>
      <c r="F266" s="171">
        <f>SUM(F209:F265)</f>
        <v>20259668.7</v>
      </c>
      <c r="G266" s="172">
        <f>SUM(G208:G265)</f>
        <v>20259668.700000003</v>
      </c>
      <c r="I266" s="173"/>
    </row>
    <row r="267" ht="24" customHeight="1" thickTop="1">
      <c r="I267" s="173"/>
    </row>
    <row r="268" ht="24" customHeight="1">
      <c r="I268" s="173"/>
    </row>
    <row r="269" ht="24" customHeight="1">
      <c r="I269" s="173"/>
    </row>
    <row r="270" ht="24" customHeight="1">
      <c r="I270" s="173"/>
    </row>
    <row r="271" spans="1:9" ht="24" customHeight="1">
      <c r="A271" s="174" t="s">
        <v>0</v>
      </c>
      <c r="D271" s="175" t="s">
        <v>184</v>
      </c>
      <c r="F271" s="174" t="s">
        <v>181</v>
      </c>
      <c r="I271" s="173"/>
    </row>
    <row r="272" spans="1:9" ht="24" customHeight="1">
      <c r="A272" s="174" t="s">
        <v>165</v>
      </c>
      <c r="D272" s="174" t="s">
        <v>185</v>
      </c>
      <c r="F272" s="174" t="s">
        <v>182</v>
      </c>
      <c r="I272" s="173"/>
    </row>
    <row r="273" spans="1:9" ht="24" customHeight="1">
      <c r="A273" s="174" t="s">
        <v>179</v>
      </c>
      <c r="D273" s="174" t="s">
        <v>186</v>
      </c>
      <c r="F273" s="174" t="s">
        <v>183</v>
      </c>
      <c r="I273" s="173"/>
    </row>
    <row r="274" spans="1:9" ht="24" customHeight="1">
      <c r="A274" s="174" t="s">
        <v>1</v>
      </c>
      <c r="I274" s="173"/>
    </row>
    <row r="275" ht="24" customHeight="1">
      <c r="I275" s="173"/>
    </row>
    <row r="276" ht="24" customHeight="1">
      <c r="I276" s="173"/>
    </row>
    <row r="277" ht="24" customHeight="1">
      <c r="I277" s="173"/>
    </row>
    <row r="278" spans="9:10" ht="24" customHeight="1">
      <c r="I278" s="173"/>
      <c r="J278" s="173"/>
    </row>
    <row r="279" ht="24" customHeight="1">
      <c r="I279" s="173"/>
    </row>
    <row r="285" spans="1:7" ht="23.25" customHeight="1">
      <c r="A285" s="335" t="s">
        <v>13</v>
      </c>
      <c r="B285" s="335"/>
      <c r="C285" s="335"/>
      <c r="D285" s="335"/>
      <c r="E285" s="335"/>
      <c r="F285" s="335"/>
      <c r="G285" s="335"/>
    </row>
    <row r="286" spans="1:7" ht="23.25" customHeight="1">
      <c r="A286" s="336" t="s">
        <v>115</v>
      </c>
      <c r="B286" s="336"/>
      <c r="C286" s="336"/>
      <c r="D286" s="336"/>
      <c r="E286" s="336"/>
      <c r="F286" s="336"/>
      <c r="G286" s="336"/>
    </row>
    <row r="287" spans="1:7" ht="23.25" customHeight="1">
      <c r="A287" s="147"/>
      <c r="B287" s="147"/>
      <c r="C287" s="147"/>
      <c r="D287" s="337" t="s">
        <v>267</v>
      </c>
      <c r="E287" s="337"/>
      <c r="F287" s="337"/>
      <c r="G287" s="147"/>
    </row>
    <row r="288" spans="1:7" ht="23.25" customHeight="1" thickBot="1">
      <c r="A288" s="336" t="s">
        <v>408</v>
      </c>
      <c r="B288" s="336"/>
      <c r="C288" s="336"/>
      <c r="D288" s="336"/>
      <c r="E288" s="336"/>
      <c r="F288" s="336"/>
      <c r="G288" s="336"/>
    </row>
    <row r="289" spans="1:7" ht="23.25" customHeight="1" thickBot="1">
      <c r="A289" s="338" t="s">
        <v>29</v>
      </c>
      <c r="B289" s="339"/>
      <c r="C289" s="339"/>
      <c r="D289" s="339"/>
      <c r="E289" s="148" t="s">
        <v>30</v>
      </c>
      <c r="F289" s="148" t="s">
        <v>31</v>
      </c>
      <c r="G289" s="149" t="s">
        <v>32</v>
      </c>
    </row>
    <row r="290" spans="1:7" ht="23.25" customHeight="1">
      <c r="A290" s="150" t="s">
        <v>108</v>
      </c>
      <c r="B290" s="151"/>
      <c r="C290" s="151"/>
      <c r="D290" s="152"/>
      <c r="E290" s="153">
        <v>110100</v>
      </c>
      <c r="F290" s="102">
        <f>12215.5-11864.75</f>
        <v>350.75</v>
      </c>
      <c r="G290" s="154"/>
    </row>
    <row r="291" spans="1:7" ht="23.25" customHeight="1">
      <c r="A291" s="155" t="s">
        <v>133</v>
      </c>
      <c r="B291" s="156"/>
      <c r="C291" s="156"/>
      <c r="D291" s="157"/>
      <c r="E291" s="153">
        <v>110201</v>
      </c>
      <c r="F291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+1070-2409103.19+30308.75+3608605.74+1158200.93-1512984.23+54053</f>
        <v>12190252.75</v>
      </c>
      <c r="G291" s="158"/>
    </row>
    <row r="292" spans="1:7" ht="23.25" customHeight="1">
      <c r="A292" s="155" t="s">
        <v>11</v>
      </c>
      <c r="B292" s="156"/>
      <c r="C292" s="156"/>
      <c r="D292" s="159"/>
      <c r="E292" s="153">
        <v>110201</v>
      </c>
      <c r="F292" s="75">
        <f>167913.88+430.42+100000+220000-300000+30000+100000-100000+10439.92-100000+100000</f>
        <v>228784.22000000006</v>
      </c>
      <c r="G292" s="158"/>
    </row>
    <row r="293" spans="1:7" ht="23.25" customHeight="1">
      <c r="A293" s="155" t="s">
        <v>82</v>
      </c>
      <c r="B293" s="156"/>
      <c r="C293" s="156"/>
      <c r="D293" s="159"/>
      <c r="E293" s="153">
        <v>110201</v>
      </c>
      <c r="F293" s="103">
        <f>2035.38+5.07+4.31</f>
        <v>2044.76</v>
      </c>
      <c r="G293" s="158"/>
    </row>
    <row r="294" spans="1:7" ht="23.25" customHeight="1">
      <c r="A294" s="155" t="s">
        <v>384</v>
      </c>
      <c r="B294" s="156"/>
      <c r="C294" s="156"/>
      <c r="D294" s="159"/>
      <c r="E294" s="153"/>
      <c r="F294" s="103">
        <v>6100</v>
      </c>
      <c r="G294" s="158"/>
    </row>
    <row r="295" spans="1:7" ht="23.25" customHeight="1">
      <c r="A295" s="155" t="s">
        <v>18</v>
      </c>
      <c r="B295" s="156"/>
      <c r="C295" s="156"/>
      <c r="D295" s="159"/>
      <c r="E295" s="153">
        <v>210402</v>
      </c>
      <c r="F295" s="160"/>
      <c r="G295" s="158">
        <f>794903-392500-17238.5</f>
        <v>385164.5</v>
      </c>
    </row>
    <row r="296" spans="1:7" ht="23.25" customHeight="1">
      <c r="A296" s="155" t="s">
        <v>232</v>
      </c>
      <c r="B296" s="156"/>
      <c r="C296" s="156"/>
      <c r="D296" s="159"/>
      <c r="E296" s="153">
        <v>230102</v>
      </c>
      <c r="F296" s="160"/>
      <c r="G296" s="158">
        <f>4923.02-4923.02+13007.36-13007.36+2476.64+500-2976.64+3515.79</f>
        <v>3515.79</v>
      </c>
    </row>
    <row r="297" spans="1:7" ht="23.25" customHeight="1">
      <c r="A297" s="155" t="s">
        <v>252</v>
      </c>
      <c r="B297" s="156"/>
      <c r="C297" s="156"/>
      <c r="D297" s="159"/>
      <c r="E297" s="153">
        <v>230105</v>
      </c>
      <c r="F297" s="160"/>
      <c r="G297" s="158">
        <f>2299.34+3348.07</f>
        <v>5647.41</v>
      </c>
    </row>
    <row r="298" spans="1:7" ht="23.25" customHeight="1">
      <c r="A298" s="155" t="s">
        <v>253</v>
      </c>
      <c r="B298" s="156"/>
      <c r="C298" s="156"/>
      <c r="D298" s="159"/>
      <c r="E298" s="153">
        <v>230106</v>
      </c>
      <c r="F298" s="160"/>
      <c r="G298" s="158">
        <f>2723+119.38-2842.38+639.93+1274.06</f>
        <v>1913.9899999999998</v>
      </c>
    </row>
    <row r="299" spans="1:7" ht="23.25" customHeight="1">
      <c r="A299" s="155" t="s">
        <v>233</v>
      </c>
      <c r="B299" s="156"/>
      <c r="C299" s="156"/>
      <c r="D299" s="159"/>
      <c r="E299" s="153">
        <v>230108</v>
      </c>
      <c r="F299" s="160"/>
      <c r="G299" s="158">
        <f>429650-166200-263450</f>
        <v>0</v>
      </c>
    </row>
    <row r="300" spans="1:7" ht="23.25" customHeight="1">
      <c r="A300" s="155" t="s">
        <v>254</v>
      </c>
      <c r="B300" s="156"/>
      <c r="C300" s="156"/>
      <c r="D300" s="159"/>
      <c r="E300" s="153">
        <v>230116</v>
      </c>
      <c r="F300" s="160"/>
      <c r="G300" s="158">
        <v>178643.25</v>
      </c>
    </row>
    <row r="301" spans="1:7" ht="23.25" customHeight="1">
      <c r="A301" s="155" t="s">
        <v>255</v>
      </c>
      <c r="B301" s="156"/>
      <c r="C301" s="156"/>
      <c r="D301" s="159"/>
      <c r="E301" s="153">
        <v>230199</v>
      </c>
      <c r="F301" s="160"/>
      <c r="G301" s="158">
        <v>225</v>
      </c>
    </row>
    <row r="302" spans="1:7" ht="23.25" customHeight="1">
      <c r="A302" s="155" t="s">
        <v>256</v>
      </c>
      <c r="B302" s="156"/>
      <c r="C302" s="156"/>
      <c r="D302" s="159"/>
      <c r="E302" s="153">
        <v>230199</v>
      </c>
      <c r="F302" s="160"/>
      <c r="G302" s="158">
        <f>55725+335265+24450+13875+8450-9450</f>
        <v>428315</v>
      </c>
    </row>
    <row r="303" spans="1:7" ht="23.25" customHeight="1">
      <c r="A303" s="155" t="s">
        <v>257</v>
      </c>
      <c r="B303" s="156"/>
      <c r="C303" s="156"/>
      <c r="D303" s="159"/>
      <c r="E303" s="153">
        <v>230199</v>
      </c>
      <c r="F303" s="160"/>
      <c r="G303" s="158">
        <v>228784.22</v>
      </c>
    </row>
    <row r="304" spans="1:7" ht="23.25" customHeight="1">
      <c r="A304" s="155" t="s">
        <v>258</v>
      </c>
      <c r="B304" s="156"/>
      <c r="C304" s="156"/>
      <c r="D304" s="159"/>
      <c r="E304" s="153">
        <v>230199</v>
      </c>
      <c r="F304" s="160"/>
      <c r="G304" s="158">
        <v>110.69</v>
      </c>
    </row>
    <row r="305" spans="1:7" ht="23.25" customHeight="1">
      <c r="A305" s="155" t="s">
        <v>38</v>
      </c>
      <c r="B305" s="156"/>
      <c r="C305" s="156"/>
      <c r="D305" s="164"/>
      <c r="E305" s="153">
        <v>310000</v>
      </c>
      <c r="F305" s="158"/>
      <c r="G305" s="163">
        <v>2788709</v>
      </c>
    </row>
    <row r="306" spans="1:7" ht="23.25" customHeight="1">
      <c r="A306" s="155" t="s">
        <v>76</v>
      </c>
      <c r="B306" s="156"/>
      <c r="C306" s="156"/>
      <c r="D306" s="159"/>
      <c r="E306" s="153">
        <v>320000</v>
      </c>
      <c r="F306" s="158"/>
      <c r="G306" s="163">
        <v>6149240.45</v>
      </c>
    </row>
    <row r="307" spans="1:7" ht="23.25" customHeight="1">
      <c r="A307" s="155" t="s">
        <v>172</v>
      </c>
      <c r="B307" s="156"/>
      <c r="C307" s="156"/>
      <c r="D307" s="159"/>
      <c r="E307" s="153">
        <v>411001</v>
      </c>
      <c r="F307" s="158"/>
      <c r="G307" s="163">
        <f>1275.5+21070.25</f>
        <v>22345.75</v>
      </c>
    </row>
    <row r="308" spans="1:7" ht="23.25" customHeight="1">
      <c r="A308" s="155" t="s">
        <v>19</v>
      </c>
      <c r="B308" s="156"/>
      <c r="C308" s="156"/>
      <c r="D308" s="159"/>
      <c r="E308" s="153">
        <v>411002</v>
      </c>
      <c r="F308" s="158"/>
      <c r="G308" s="163">
        <f>10018.32+19942.44</f>
        <v>29960.76</v>
      </c>
    </row>
    <row r="309" spans="1:7" ht="23.25" customHeight="1">
      <c r="A309" s="155" t="s">
        <v>177</v>
      </c>
      <c r="B309" s="156"/>
      <c r="C309" s="156"/>
      <c r="D309" s="159"/>
      <c r="E309" s="153">
        <v>411003</v>
      </c>
      <c r="F309" s="158"/>
      <c r="G309" s="163">
        <v>2000</v>
      </c>
    </row>
    <row r="310" spans="1:7" ht="23.25" customHeight="1">
      <c r="A310" s="155" t="s">
        <v>198</v>
      </c>
      <c r="B310" s="156"/>
      <c r="C310" s="156"/>
      <c r="D310" s="159"/>
      <c r="E310" s="153">
        <v>412303</v>
      </c>
      <c r="F310" s="158"/>
      <c r="G310" s="163">
        <v>500</v>
      </c>
    </row>
    <row r="311" spans="1:7" ht="23.25" customHeight="1">
      <c r="A311" s="155" t="s">
        <v>227</v>
      </c>
      <c r="B311" s="156"/>
      <c r="C311" s="156"/>
      <c r="D311" s="159"/>
      <c r="E311" s="153">
        <v>412103</v>
      </c>
      <c r="F311" s="158"/>
      <c r="G311" s="163">
        <f>19.4+77.6+659.6</f>
        <v>756.6</v>
      </c>
    </row>
    <row r="312" spans="1:7" ht="23.25" customHeight="1">
      <c r="A312" s="155" t="s">
        <v>23</v>
      </c>
      <c r="B312" s="156"/>
      <c r="C312" s="156"/>
      <c r="D312" s="159"/>
      <c r="E312" s="153">
        <v>412106</v>
      </c>
      <c r="F312" s="158"/>
      <c r="G312" s="163">
        <f>1382+20+567</f>
        <v>1969</v>
      </c>
    </row>
    <row r="313" spans="1:7" ht="23.25" customHeight="1">
      <c r="A313" s="155" t="s">
        <v>385</v>
      </c>
      <c r="B313" s="156"/>
      <c r="C313" s="156"/>
      <c r="D313" s="159"/>
      <c r="E313" s="153">
        <v>412128</v>
      </c>
      <c r="F313" s="158"/>
      <c r="G313" s="163">
        <f>50+100</f>
        <v>150</v>
      </c>
    </row>
    <row r="314" spans="1:9" ht="23.25" customHeight="1">
      <c r="A314" s="155" t="s">
        <v>188</v>
      </c>
      <c r="B314" s="156"/>
      <c r="C314" s="156"/>
      <c r="D314" s="159"/>
      <c r="E314" s="153">
        <v>412210</v>
      </c>
      <c r="F314" s="158"/>
      <c r="G314" s="163">
        <f>1000+5900</f>
        <v>6900</v>
      </c>
      <c r="I314" s="173"/>
    </row>
    <row r="315" spans="1:7" ht="23.25" customHeight="1">
      <c r="A315" s="155" t="s">
        <v>247</v>
      </c>
      <c r="B315" s="156"/>
      <c r="C315" s="156"/>
      <c r="D315" s="159"/>
      <c r="E315" s="153">
        <v>412307</v>
      </c>
      <c r="F315" s="247"/>
      <c r="G315" s="163">
        <f>1975</f>
        <v>1975</v>
      </c>
    </row>
    <row r="316" spans="1:7" ht="23.25" customHeight="1">
      <c r="A316" s="155" t="s">
        <v>27</v>
      </c>
      <c r="B316" s="156"/>
      <c r="C316" s="156"/>
      <c r="D316" s="164"/>
      <c r="E316" s="165">
        <v>415004</v>
      </c>
      <c r="F316" s="248"/>
      <c r="G316" s="75">
        <v>5200</v>
      </c>
    </row>
    <row r="317" spans="1:7" ht="23.25" customHeight="1">
      <c r="A317" s="155" t="s">
        <v>43</v>
      </c>
      <c r="B317" s="156"/>
      <c r="C317" s="156"/>
      <c r="D317" s="159"/>
      <c r="E317" s="161" t="s">
        <v>266</v>
      </c>
      <c r="F317" s="103"/>
      <c r="G317" s="75">
        <v>8169.4</v>
      </c>
    </row>
    <row r="318" spans="1:7" ht="23.25" customHeight="1">
      <c r="A318" s="155" t="s">
        <v>248</v>
      </c>
      <c r="B318" s="156"/>
      <c r="C318" s="156"/>
      <c r="D318" s="159"/>
      <c r="E318" s="165">
        <v>421307</v>
      </c>
      <c r="F318" s="75"/>
      <c r="G318" s="75">
        <f>1479825.59+732974.31+746545.91</f>
        <v>2959345.8100000005</v>
      </c>
    </row>
    <row r="319" spans="1:7" ht="23.25" customHeight="1">
      <c r="A319" s="155" t="s">
        <v>249</v>
      </c>
      <c r="B319" s="156"/>
      <c r="C319" s="156"/>
      <c r="D319" s="159"/>
      <c r="E319" s="165">
        <v>421004</v>
      </c>
      <c r="F319" s="75"/>
      <c r="G319" s="166">
        <f>223111.55+111564.98+143657.5+182278.21</f>
        <v>660612.24</v>
      </c>
    </row>
    <row r="320" spans="1:7" ht="23.25" customHeight="1">
      <c r="A320" s="155" t="s">
        <v>24</v>
      </c>
      <c r="B320" s="156"/>
      <c r="C320" s="156"/>
      <c r="D320" s="159"/>
      <c r="E320" s="165">
        <v>421005</v>
      </c>
      <c r="F320" s="75"/>
      <c r="G320" s="166">
        <f>8361.66+7503.48+5991.83+8395.03</f>
        <v>30252</v>
      </c>
    </row>
    <row r="321" spans="1:7" ht="23.25" customHeight="1">
      <c r="A321" s="155" t="s">
        <v>20</v>
      </c>
      <c r="B321" s="156"/>
      <c r="C321" s="156"/>
      <c r="D321" s="159"/>
      <c r="E321" s="165">
        <v>421006</v>
      </c>
      <c r="F321" s="75"/>
      <c r="G321" s="166">
        <f>104186.51+54104.3+77347.6+50934.64</f>
        <v>286573.05</v>
      </c>
    </row>
    <row r="322" spans="1:7" ht="23.25" customHeight="1">
      <c r="A322" s="155" t="s">
        <v>21</v>
      </c>
      <c r="B322" s="156"/>
      <c r="C322" s="156"/>
      <c r="D322" s="159"/>
      <c r="E322" s="165">
        <v>421007</v>
      </c>
      <c r="F322" s="75"/>
      <c r="G322" s="166">
        <f>275482.82+126002.78+160661.4+126503.92</f>
        <v>688650.92</v>
      </c>
    </row>
    <row r="323" spans="1:7" ht="23.25" customHeight="1">
      <c r="A323" s="155" t="s">
        <v>409</v>
      </c>
      <c r="B323" s="156"/>
      <c r="C323" s="156"/>
      <c r="D323" s="159"/>
      <c r="E323" s="165">
        <v>421012</v>
      </c>
      <c r="F323" s="75"/>
      <c r="G323" s="166">
        <v>11022.62</v>
      </c>
    </row>
    <row r="324" spans="1:7" ht="23.25" customHeight="1">
      <c r="A324" s="155" t="s">
        <v>22</v>
      </c>
      <c r="B324" s="156"/>
      <c r="C324" s="156"/>
      <c r="D324" s="159"/>
      <c r="E324" s="165">
        <v>421013</v>
      </c>
      <c r="F324" s="75"/>
      <c r="G324" s="166">
        <f>5473.67+5110.41</f>
        <v>10584.08</v>
      </c>
    </row>
    <row r="325" spans="1:7" ht="23.25" customHeight="1">
      <c r="A325" s="155" t="s">
        <v>250</v>
      </c>
      <c r="B325" s="156"/>
      <c r="C325" s="156"/>
      <c r="D325" s="159"/>
      <c r="E325" s="165">
        <v>421015</v>
      </c>
      <c r="F325" s="75"/>
      <c r="G325" s="166">
        <f>22520+32955+53903+31861</f>
        <v>141239</v>
      </c>
    </row>
    <row r="326" spans="1:7" ht="23.25" customHeight="1">
      <c r="A326" s="155" t="s">
        <v>251</v>
      </c>
      <c r="B326" s="156"/>
      <c r="C326" s="156"/>
      <c r="D326" s="159"/>
      <c r="E326" s="165">
        <v>431002</v>
      </c>
      <c r="F326" s="75"/>
      <c r="G326" s="166">
        <v>6423887</v>
      </c>
    </row>
    <row r="327" spans="1:7" ht="23.25" customHeight="1">
      <c r="A327" s="156"/>
      <c r="B327" s="156"/>
      <c r="C327" s="156"/>
      <c r="D327" s="156"/>
      <c r="E327" s="218"/>
      <c r="F327" s="219"/>
      <c r="G327" s="220"/>
    </row>
    <row r="328" spans="1:7" ht="23.25" customHeight="1" thickBot="1">
      <c r="A328" s="156"/>
      <c r="B328" s="156"/>
      <c r="C328" s="156"/>
      <c r="D328" s="156"/>
      <c r="E328" s="218">
        <v>-2</v>
      </c>
      <c r="F328" s="219"/>
      <c r="G328" s="220"/>
    </row>
    <row r="329" spans="1:7" ht="23.25" customHeight="1" thickBot="1">
      <c r="A329" s="340" t="s">
        <v>29</v>
      </c>
      <c r="B329" s="341"/>
      <c r="C329" s="341"/>
      <c r="D329" s="342"/>
      <c r="E329" s="223" t="s">
        <v>30</v>
      </c>
      <c r="F329" s="148" t="s">
        <v>31</v>
      </c>
      <c r="G329" s="244" t="s">
        <v>32</v>
      </c>
    </row>
    <row r="330" spans="1:7" ht="23.25" customHeight="1">
      <c r="A330" s="155" t="s">
        <v>45</v>
      </c>
      <c r="B330" s="156"/>
      <c r="C330" s="156"/>
      <c r="D330" s="159"/>
      <c r="E330" s="161" t="s">
        <v>244</v>
      </c>
      <c r="F330" s="160">
        <f>1052281+571928+425400-65645-1000+167283+422000+422200+18483</f>
        <v>3012930</v>
      </c>
      <c r="G330" s="245"/>
    </row>
    <row r="331" spans="1:9" ht="23.25" customHeight="1">
      <c r="A331" s="155" t="s">
        <v>135</v>
      </c>
      <c r="B331" s="156"/>
      <c r="C331" s="156"/>
      <c r="D331" s="159"/>
      <c r="E331" s="162" t="s">
        <v>245</v>
      </c>
      <c r="F331" s="160">
        <f>414120+207060+207060+207060</f>
        <v>1035300</v>
      </c>
      <c r="G331" s="68"/>
      <c r="I331" s="173"/>
    </row>
    <row r="332" spans="1:7" ht="23.25" customHeight="1">
      <c r="A332" s="155" t="s">
        <v>107</v>
      </c>
      <c r="B332" s="156"/>
      <c r="C332" s="156"/>
      <c r="D332" s="159"/>
      <c r="E332" s="162" t="s">
        <v>136</v>
      </c>
      <c r="F332" s="160">
        <f>340780+340780+340780+341490+341040</f>
        <v>1704870</v>
      </c>
      <c r="G332" s="68"/>
    </row>
    <row r="333" spans="1:7" ht="23.25" customHeight="1">
      <c r="A333" s="155" t="s">
        <v>93</v>
      </c>
      <c r="B333" s="156"/>
      <c r="C333" s="156"/>
      <c r="D333" s="159"/>
      <c r="E333" s="162" t="s">
        <v>136</v>
      </c>
      <c r="F333" s="160">
        <f>13310+13310+13310+13310+13310</f>
        <v>66550</v>
      </c>
      <c r="G333" s="68"/>
    </row>
    <row r="334" spans="1:7" ht="23.25" customHeight="1">
      <c r="A334" s="155" t="s">
        <v>33</v>
      </c>
      <c r="B334" s="156"/>
      <c r="C334" s="156"/>
      <c r="D334" s="159"/>
      <c r="E334" s="162" t="s">
        <v>136</v>
      </c>
      <c r="F334" s="160">
        <f>147075+137075+148475+148475+148475</f>
        <v>729575</v>
      </c>
      <c r="G334" s="68"/>
    </row>
    <row r="335" spans="1:7" ht="23.25" customHeight="1">
      <c r="A335" s="155" t="s">
        <v>80</v>
      </c>
      <c r="B335" s="156"/>
      <c r="C335" s="156"/>
      <c r="D335" s="159"/>
      <c r="E335" s="162" t="s">
        <v>137</v>
      </c>
      <c r="F335" s="158">
        <f>22515+20000+9930+13000</f>
        <v>65445</v>
      </c>
      <c r="G335" s="68"/>
    </row>
    <row r="336" spans="1:7" ht="23.25" customHeight="1">
      <c r="A336" s="155" t="s">
        <v>81</v>
      </c>
      <c r="B336" s="156"/>
      <c r="C336" s="156"/>
      <c r="D336" s="159"/>
      <c r="E336" s="162" t="s">
        <v>138</v>
      </c>
      <c r="F336" s="158">
        <f>305709.29-0.9+140000+288958.85+220010+228739.5</f>
        <v>1183416.74</v>
      </c>
      <c r="G336" s="68"/>
    </row>
    <row r="337" spans="1:7" ht="23.25" customHeight="1">
      <c r="A337" s="70" t="s">
        <v>83</v>
      </c>
      <c r="B337" s="156"/>
      <c r="C337" s="156"/>
      <c r="D337" s="159"/>
      <c r="E337" s="162" t="s">
        <v>246</v>
      </c>
      <c r="F337" s="158">
        <f>90550+90929+65645+221628.39+31381</f>
        <v>500133.39</v>
      </c>
      <c r="G337" s="68"/>
    </row>
    <row r="338" spans="1:7" ht="23.25" customHeight="1">
      <c r="A338" s="155" t="s">
        <v>34</v>
      </c>
      <c r="B338" s="156"/>
      <c r="C338" s="156"/>
      <c r="D338" s="159"/>
      <c r="E338" s="104">
        <v>534000</v>
      </c>
      <c r="F338" s="158">
        <f>14521.55+15448.29+22732.73+7784.88</f>
        <v>60487.45</v>
      </c>
      <c r="G338" s="163"/>
    </row>
    <row r="339" spans="1:7" ht="23.25" customHeight="1">
      <c r="A339" s="155" t="s">
        <v>35</v>
      </c>
      <c r="B339" s="156"/>
      <c r="C339" s="156"/>
      <c r="D339" s="159"/>
      <c r="E339" s="153">
        <v>561000</v>
      </c>
      <c r="F339" s="75">
        <f>273000+330522.47</f>
        <v>603522.47</v>
      </c>
      <c r="G339" s="166"/>
    </row>
    <row r="340" spans="1:7" ht="23.25" customHeight="1">
      <c r="A340" s="155" t="s">
        <v>406</v>
      </c>
      <c r="B340" s="156"/>
      <c r="C340" s="156"/>
      <c r="D340" s="159"/>
      <c r="E340" s="165">
        <v>541000</v>
      </c>
      <c r="F340" s="75">
        <f>7100+65500</f>
        <v>72600</v>
      </c>
      <c r="G340" s="166"/>
    </row>
    <row r="341" spans="1:7" ht="23.25" customHeight="1">
      <c r="A341" s="155"/>
      <c r="B341" s="156"/>
      <c r="C341" s="156"/>
      <c r="D341" s="159"/>
      <c r="E341" s="165"/>
      <c r="F341" s="75"/>
      <c r="G341" s="166"/>
    </row>
    <row r="342" spans="1:7" ht="23.25" customHeight="1">
      <c r="A342" s="155"/>
      <c r="B342" s="156"/>
      <c r="C342" s="156"/>
      <c r="D342" s="159"/>
      <c r="E342" s="165"/>
      <c r="F342" s="75"/>
      <c r="G342" s="166"/>
    </row>
    <row r="343" spans="1:7" ht="23.25" customHeight="1">
      <c r="A343" s="155"/>
      <c r="B343" s="156"/>
      <c r="C343" s="156"/>
      <c r="D343" s="159"/>
      <c r="E343" s="165"/>
      <c r="F343" s="75"/>
      <c r="G343" s="166"/>
    </row>
    <row r="344" spans="1:7" ht="23.25" customHeight="1">
      <c r="A344" s="155"/>
      <c r="B344" s="156"/>
      <c r="C344" s="156"/>
      <c r="D344" s="159"/>
      <c r="E344" s="165"/>
      <c r="F344" s="75"/>
      <c r="G344" s="166"/>
    </row>
    <row r="345" spans="1:7" ht="23.25" customHeight="1">
      <c r="A345" s="155"/>
      <c r="B345" s="156"/>
      <c r="C345" s="156"/>
      <c r="D345" s="159"/>
      <c r="E345" s="165"/>
      <c r="F345" s="75"/>
      <c r="G345" s="166"/>
    </row>
    <row r="346" spans="1:7" ht="23.25" customHeight="1">
      <c r="A346" s="155"/>
      <c r="B346" s="156"/>
      <c r="C346" s="156"/>
      <c r="D346" s="159"/>
      <c r="E346" s="165"/>
      <c r="F346" s="75"/>
      <c r="G346" s="166"/>
    </row>
    <row r="347" spans="1:9" ht="23.25" customHeight="1">
      <c r="A347" s="155"/>
      <c r="B347" s="156"/>
      <c r="C347" s="156"/>
      <c r="D347" s="159"/>
      <c r="E347" s="165"/>
      <c r="F347" s="75"/>
      <c r="G347" s="246"/>
      <c r="I347" s="173"/>
    </row>
    <row r="348" spans="1:9" ht="23.25" customHeight="1" thickBot="1">
      <c r="A348" s="224"/>
      <c r="B348" s="225"/>
      <c r="C348" s="225"/>
      <c r="D348" s="226"/>
      <c r="E348" s="227"/>
      <c r="F348" s="171">
        <f>SUM(F290:F347)</f>
        <v>21462362.529999997</v>
      </c>
      <c r="G348" s="172">
        <f>SUM(G290:G347)</f>
        <v>21462362.53</v>
      </c>
      <c r="I348" s="173"/>
    </row>
    <row r="349" ht="23.25" customHeight="1" thickTop="1"/>
    <row r="353" spans="1:9" ht="23.25" customHeight="1">
      <c r="A353" s="174" t="s">
        <v>0</v>
      </c>
      <c r="D353" s="175" t="s">
        <v>184</v>
      </c>
      <c r="F353" s="174" t="s">
        <v>181</v>
      </c>
      <c r="I353" s="173"/>
    </row>
    <row r="354" spans="1:6" ht="23.25" customHeight="1">
      <c r="A354" s="174" t="s">
        <v>165</v>
      </c>
      <c r="D354" s="174" t="s">
        <v>185</v>
      </c>
      <c r="F354" s="174" t="s">
        <v>182</v>
      </c>
    </row>
    <row r="355" spans="1:6" ht="23.25" customHeight="1">
      <c r="A355" s="174" t="s">
        <v>179</v>
      </c>
      <c r="D355" s="174" t="s">
        <v>186</v>
      </c>
      <c r="F355" s="174" t="s">
        <v>183</v>
      </c>
    </row>
    <row r="356" ht="23.25" customHeight="1">
      <c r="A356" s="174" t="s">
        <v>1</v>
      </c>
    </row>
    <row r="369" spans="1:7" ht="23.25" customHeight="1">
      <c r="A369" s="335" t="s">
        <v>13</v>
      </c>
      <c r="B369" s="335"/>
      <c r="C369" s="335"/>
      <c r="D369" s="335"/>
      <c r="E369" s="335"/>
      <c r="F369" s="335"/>
      <c r="G369" s="335"/>
    </row>
    <row r="370" spans="1:7" ht="23.25" customHeight="1">
      <c r="A370" s="336" t="s">
        <v>115</v>
      </c>
      <c r="B370" s="336"/>
      <c r="C370" s="336"/>
      <c r="D370" s="336"/>
      <c r="E370" s="336"/>
      <c r="F370" s="336"/>
      <c r="G370" s="336"/>
    </row>
    <row r="371" spans="1:7" ht="23.25" customHeight="1">
      <c r="A371" s="147"/>
      <c r="B371" s="147"/>
      <c r="C371" s="147"/>
      <c r="D371" s="337" t="s">
        <v>267</v>
      </c>
      <c r="E371" s="337"/>
      <c r="F371" s="337"/>
      <c r="G371" s="147"/>
    </row>
    <row r="372" spans="1:7" ht="23.25" customHeight="1" thickBot="1">
      <c r="A372" s="336" t="s">
        <v>408</v>
      </c>
      <c r="B372" s="336"/>
      <c r="C372" s="336"/>
      <c r="D372" s="336"/>
      <c r="E372" s="336"/>
      <c r="F372" s="336"/>
      <c r="G372" s="336"/>
    </row>
    <row r="373" spans="1:9" ht="23.25" customHeight="1" thickBot="1">
      <c r="A373" s="338" t="s">
        <v>29</v>
      </c>
      <c r="B373" s="339"/>
      <c r="C373" s="339"/>
      <c r="D373" s="339"/>
      <c r="E373" s="148" t="s">
        <v>30</v>
      </c>
      <c r="F373" s="148" t="s">
        <v>31</v>
      </c>
      <c r="G373" s="149" t="s">
        <v>32</v>
      </c>
      <c r="I373" s="173"/>
    </row>
    <row r="374" spans="1:7" ht="23.25" customHeight="1">
      <c r="A374" s="150" t="s">
        <v>108</v>
      </c>
      <c r="B374" s="151"/>
      <c r="C374" s="151"/>
      <c r="D374" s="152"/>
      <c r="E374" s="153">
        <v>110100</v>
      </c>
      <c r="F374" s="102">
        <f>12215.5-11864.75+4197-4323.5</f>
        <v>224.25</v>
      </c>
      <c r="G374" s="154"/>
    </row>
    <row r="375" spans="1:7" ht="23.25" customHeight="1">
      <c r="A375" s="155" t="s">
        <v>133</v>
      </c>
      <c r="B375" s="156"/>
      <c r="C375" s="156"/>
      <c r="D375" s="157"/>
      <c r="E375" s="153">
        <v>110201</v>
      </c>
      <c r="F375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+1070-2409103.19+30308.75+3608605.74+1158200.93-1512984.23+54053+288062.04+1658422.62-1824970.23-530002</f>
        <v>11781765.18</v>
      </c>
      <c r="G375" s="158"/>
    </row>
    <row r="376" spans="1:7" ht="23.25" customHeight="1">
      <c r="A376" s="155" t="s">
        <v>11</v>
      </c>
      <c r="B376" s="156"/>
      <c r="C376" s="156"/>
      <c r="D376" s="159"/>
      <c r="E376" s="153">
        <v>110201</v>
      </c>
      <c r="F376" s="75">
        <f>167913.88+430.42+100000+220000-300000+30000+100000-100000+10439.92-100000+100000</f>
        <v>228784.22000000006</v>
      </c>
      <c r="G376" s="158"/>
    </row>
    <row r="377" spans="1:7" ht="23.25" customHeight="1">
      <c r="A377" s="155" t="s">
        <v>82</v>
      </c>
      <c r="B377" s="156"/>
      <c r="C377" s="156"/>
      <c r="D377" s="159"/>
      <c r="E377" s="153">
        <v>110201</v>
      </c>
      <c r="F377" s="103">
        <f>2035.38+5.07+4.31</f>
        <v>2044.76</v>
      </c>
      <c r="G377" s="158"/>
    </row>
    <row r="378" spans="1:7" ht="23.25" customHeight="1">
      <c r="A378" s="155" t="s">
        <v>384</v>
      </c>
      <c r="B378" s="156"/>
      <c r="C378" s="156"/>
      <c r="D378" s="159"/>
      <c r="E378" s="153"/>
      <c r="F378" s="103">
        <f>6100+666000</f>
        <v>672100</v>
      </c>
      <c r="G378" s="158"/>
    </row>
    <row r="379" spans="1:7" ht="23.25" customHeight="1">
      <c r="A379" s="155" t="s">
        <v>18</v>
      </c>
      <c r="B379" s="156"/>
      <c r="C379" s="156"/>
      <c r="D379" s="159"/>
      <c r="E379" s="153">
        <v>210402</v>
      </c>
      <c r="F379" s="160"/>
      <c r="G379" s="158">
        <f>794903-392500-17238.5-382500</f>
        <v>2664.5</v>
      </c>
    </row>
    <row r="380" spans="1:7" ht="23.25" customHeight="1">
      <c r="A380" s="155" t="s">
        <v>232</v>
      </c>
      <c r="B380" s="156"/>
      <c r="C380" s="156"/>
      <c r="D380" s="159"/>
      <c r="E380" s="153">
        <v>230102</v>
      </c>
      <c r="F380" s="160"/>
      <c r="G380" s="158">
        <f>4923.02-4923.02+13007.36-13007.36+2476.64+500-2976.64+3515.79-3515.79+8965.37</f>
        <v>8965.37</v>
      </c>
    </row>
    <row r="381" spans="1:7" ht="23.25" customHeight="1">
      <c r="A381" s="155" t="s">
        <v>252</v>
      </c>
      <c r="B381" s="156"/>
      <c r="C381" s="156"/>
      <c r="D381" s="159"/>
      <c r="E381" s="153">
        <v>230105</v>
      </c>
      <c r="F381" s="160"/>
      <c r="G381" s="158">
        <f>2299.34+3348.07</f>
        <v>5647.41</v>
      </c>
    </row>
    <row r="382" spans="1:7" ht="23.25" customHeight="1">
      <c r="A382" s="155" t="s">
        <v>253</v>
      </c>
      <c r="B382" s="156"/>
      <c r="C382" s="156"/>
      <c r="D382" s="159"/>
      <c r="E382" s="153">
        <v>230106</v>
      </c>
      <c r="F382" s="160"/>
      <c r="G382" s="158">
        <f>2723+119.38-2842.38+639.93+1274.06+356.5</f>
        <v>2270.49</v>
      </c>
    </row>
    <row r="383" spans="1:7" ht="23.25" customHeight="1">
      <c r="A383" s="155" t="s">
        <v>233</v>
      </c>
      <c r="B383" s="156"/>
      <c r="C383" s="156"/>
      <c r="D383" s="159"/>
      <c r="E383" s="153">
        <v>230108</v>
      </c>
      <c r="F383" s="160"/>
      <c r="G383" s="158">
        <f>429650-166200-263450</f>
        <v>0</v>
      </c>
    </row>
    <row r="384" spans="1:7" ht="23.25" customHeight="1">
      <c r="A384" s="155" t="s">
        <v>254</v>
      </c>
      <c r="B384" s="156"/>
      <c r="C384" s="156"/>
      <c r="D384" s="159"/>
      <c r="E384" s="153">
        <v>230116</v>
      </c>
      <c r="F384" s="160"/>
      <c r="G384" s="158">
        <v>178643.25</v>
      </c>
    </row>
    <row r="385" spans="1:7" ht="23.25" customHeight="1">
      <c r="A385" s="155" t="s">
        <v>255</v>
      </c>
      <c r="B385" s="156"/>
      <c r="C385" s="156"/>
      <c r="D385" s="159"/>
      <c r="E385" s="153">
        <v>230199</v>
      </c>
      <c r="F385" s="160"/>
      <c r="G385" s="158">
        <v>225</v>
      </c>
    </row>
    <row r="386" spans="1:7" ht="23.25" customHeight="1">
      <c r="A386" s="155" t="s">
        <v>256</v>
      </c>
      <c r="B386" s="156"/>
      <c r="C386" s="156"/>
      <c r="D386" s="159"/>
      <c r="E386" s="153">
        <v>230199</v>
      </c>
      <c r="F386" s="160"/>
      <c r="G386" s="158">
        <f>55725+335265+24450+13875+8450-9450+11600</f>
        <v>439915</v>
      </c>
    </row>
    <row r="387" spans="1:7" ht="23.25" customHeight="1">
      <c r="A387" s="155" t="s">
        <v>257</v>
      </c>
      <c r="B387" s="156"/>
      <c r="C387" s="156"/>
      <c r="D387" s="159"/>
      <c r="E387" s="153">
        <v>230199</v>
      </c>
      <c r="F387" s="160"/>
      <c r="G387" s="158">
        <v>228784.22</v>
      </c>
    </row>
    <row r="388" spans="1:7" ht="23.25" customHeight="1">
      <c r="A388" s="155" t="s">
        <v>258</v>
      </c>
      <c r="B388" s="156"/>
      <c r="C388" s="156"/>
      <c r="D388" s="159"/>
      <c r="E388" s="153">
        <v>230199</v>
      </c>
      <c r="F388" s="160"/>
      <c r="G388" s="158">
        <v>110.69</v>
      </c>
    </row>
    <row r="389" spans="1:7" ht="23.25" customHeight="1">
      <c r="A389" s="155" t="s">
        <v>38</v>
      </c>
      <c r="B389" s="156"/>
      <c r="C389" s="156"/>
      <c r="D389" s="164"/>
      <c r="E389" s="153">
        <v>310000</v>
      </c>
      <c r="F389" s="158"/>
      <c r="G389" s="163">
        <v>2788709</v>
      </c>
    </row>
    <row r="390" spans="1:7" ht="23.25" customHeight="1">
      <c r="A390" s="155" t="s">
        <v>76</v>
      </c>
      <c r="B390" s="156"/>
      <c r="C390" s="156"/>
      <c r="D390" s="159"/>
      <c r="E390" s="153">
        <v>320000</v>
      </c>
      <c r="F390" s="158"/>
      <c r="G390" s="163">
        <v>6149240.45</v>
      </c>
    </row>
    <row r="391" spans="1:7" ht="23.25" customHeight="1">
      <c r="A391" s="155" t="s">
        <v>172</v>
      </c>
      <c r="B391" s="156"/>
      <c r="C391" s="156"/>
      <c r="D391" s="159"/>
      <c r="E391" s="153">
        <v>411001</v>
      </c>
      <c r="F391" s="158"/>
      <c r="G391" s="163">
        <f>1275.5+21070.25+705</f>
        <v>23050.75</v>
      </c>
    </row>
    <row r="392" spans="1:7" ht="23.25" customHeight="1">
      <c r="A392" s="155" t="s">
        <v>19</v>
      </c>
      <c r="B392" s="156"/>
      <c r="C392" s="156"/>
      <c r="D392" s="159"/>
      <c r="E392" s="153">
        <v>411002</v>
      </c>
      <c r="F392" s="158"/>
      <c r="G392" s="163">
        <f>10018.32+19942.44+5581.5</f>
        <v>35542.259999999995</v>
      </c>
    </row>
    <row r="393" spans="1:7" ht="23.25" customHeight="1">
      <c r="A393" s="155" t="s">
        <v>177</v>
      </c>
      <c r="B393" s="156"/>
      <c r="C393" s="156"/>
      <c r="D393" s="159"/>
      <c r="E393" s="153">
        <v>411003</v>
      </c>
      <c r="F393" s="158"/>
      <c r="G393" s="163">
        <v>2000</v>
      </c>
    </row>
    <row r="394" spans="1:7" ht="23.25" customHeight="1">
      <c r="A394" s="155" t="s">
        <v>198</v>
      </c>
      <c r="B394" s="156"/>
      <c r="C394" s="156"/>
      <c r="D394" s="159"/>
      <c r="E394" s="153">
        <v>412303</v>
      </c>
      <c r="F394" s="158"/>
      <c r="G394" s="163">
        <v>500</v>
      </c>
    </row>
    <row r="395" spans="1:7" ht="23.25" customHeight="1">
      <c r="A395" s="155" t="s">
        <v>227</v>
      </c>
      <c r="B395" s="156"/>
      <c r="C395" s="156"/>
      <c r="D395" s="159"/>
      <c r="E395" s="153">
        <v>412103</v>
      </c>
      <c r="F395" s="158"/>
      <c r="G395" s="163">
        <f>19.4+77.6+659.6</f>
        <v>756.6</v>
      </c>
    </row>
    <row r="396" spans="1:7" ht="23.25" customHeight="1">
      <c r="A396" s="155" t="s">
        <v>23</v>
      </c>
      <c r="B396" s="156"/>
      <c r="C396" s="156"/>
      <c r="D396" s="159"/>
      <c r="E396" s="153">
        <v>412106</v>
      </c>
      <c r="F396" s="158"/>
      <c r="G396" s="163">
        <f>1382+20+567</f>
        <v>1969</v>
      </c>
    </row>
    <row r="397" spans="1:7" ht="23.25" customHeight="1">
      <c r="A397" s="155" t="s">
        <v>385</v>
      </c>
      <c r="B397" s="156"/>
      <c r="C397" s="156"/>
      <c r="D397" s="159"/>
      <c r="E397" s="153">
        <v>412128</v>
      </c>
      <c r="F397" s="158"/>
      <c r="G397" s="163">
        <f>50+100+50</f>
        <v>200</v>
      </c>
    </row>
    <row r="398" spans="1:7" ht="23.25" customHeight="1">
      <c r="A398" s="155" t="s">
        <v>188</v>
      </c>
      <c r="B398" s="156"/>
      <c r="C398" s="156"/>
      <c r="D398" s="159"/>
      <c r="E398" s="153">
        <v>412210</v>
      </c>
      <c r="F398" s="158"/>
      <c r="G398" s="163">
        <f>1000+5900</f>
        <v>6900</v>
      </c>
    </row>
    <row r="399" spans="1:7" ht="23.25" customHeight="1">
      <c r="A399" s="155" t="s">
        <v>247</v>
      </c>
      <c r="B399" s="156"/>
      <c r="C399" s="156"/>
      <c r="D399" s="159"/>
      <c r="E399" s="153">
        <v>412307</v>
      </c>
      <c r="F399" s="247"/>
      <c r="G399" s="163">
        <f>1975</f>
        <v>1975</v>
      </c>
    </row>
    <row r="400" spans="1:9" ht="23.25" customHeight="1">
      <c r="A400" s="155" t="s">
        <v>27</v>
      </c>
      <c r="B400" s="156"/>
      <c r="C400" s="156"/>
      <c r="D400" s="164"/>
      <c r="E400" s="165">
        <v>415004</v>
      </c>
      <c r="F400" s="248"/>
      <c r="G400" s="75">
        <v>5200</v>
      </c>
      <c r="I400" s="173"/>
    </row>
    <row r="401" spans="1:7" ht="23.25" customHeight="1">
      <c r="A401" s="155" t="s">
        <v>43</v>
      </c>
      <c r="B401" s="156"/>
      <c r="C401" s="156"/>
      <c r="D401" s="159"/>
      <c r="E401" s="161" t="s">
        <v>266</v>
      </c>
      <c r="F401" s="103"/>
      <c r="G401" s="75">
        <f>8169.4+100</f>
        <v>8269.4</v>
      </c>
    </row>
    <row r="402" spans="1:7" ht="23.25" customHeight="1">
      <c r="A402" s="155" t="s">
        <v>413</v>
      </c>
      <c r="B402" s="156"/>
      <c r="C402" s="156"/>
      <c r="D402" s="159"/>
      <c r="E402" s="161" t="s">
        <v>414</v>
      </c>
      <c r="F402" s="103"/>
      <c r="G402" s="75">
        <v>96742.29</v>
      </c>
    </row>
    <row r="403" spans="1:7" ht="23.25" customHeight="1">
      <c r="A403" s="155" t="s">
        <v>248</v>
      </c>
      <c r="B403" s="156"/>
      <c r="C403" s="156"/>
      <c r="D403" s="159"/>
      <c r="E403" s="165">
        <v>421307</v>
      </c>
      <c r="F403" s="75"/>
      <c r="G403" s="75">
        <f>1479825.59+732974.31+746545.91+1461389.9</f>
        <v>4420735.710000001</v>
      </c>
    </row>
    <row r="404" spans="1:7" ht="23.25" customHeight="1">
      <c r="A404" s="155" t="s">
        <v>249</v>
      </c>
      <c r="B404" s="156"/>
      <c r="C404" s="156"/>
      <c r="D404" s="159"/>
      <c r="E404" s="165">
        <v>421004</v>
      </c>
      <c r="F404" s="75"/>
      <c r="G404" s="166">
        <f>223111.55+111564.98+143657.5+182278.21+75697.93</f>
        <v>736310.1699999999</v>
      </c>
    </row>
    <row r="405" spans="1:7" ht="23.25" customHeight="1">
      <c r="A405" s="155" t="s">
        <v>24</v>
      </c>
      <c r="B405" s="156"/>
      <c r="C405" s="156"/>
      <c r="D405" s="159"/>
      <c r="E405" s="165">
        <v>421005</v>
      </c>
      <c r="F405" s="75"/>
      <c r="G405" s="166">
        <f>8361.66+7503.48+5991.83+8395.03+4826.93</f>
        <v>35078.93</v>
      </c>
    </row>
    <row r="406" spans="1:7" ht="23.25" customHeight="1">
      <c r="A406" s="155" t="s">
        <v>20</v>
      </c>
      <c r="B406" s="156"/>
      <c r="C406" s="156"/>
      <c r="D406" s="159"/>
      <c r="E406" s="165">
        <v>421006</v>
      </c>
      <c r="F406" s="75"/>
      <c r="G406" s="166">
        <f>104186.51+54104.3+77347.6+50934.64+63302.53</f>
        <v>349875.57999999996</v>
      </c>
    </row>
    <row r="407" spans="1:7" ht="23.25" customHeight="1">
      <c r="A407" s="155" t="s">
        <v>21</v>
      </c>
      <c r="B407" s="156"/>
      <c r="C407" s="156"/>
      <c r="D407" s="159"/>
      <c r="E407" s="165">
        <v>421007</v>
      </c>
      <c r="F407" s="75"/>
      <c r="G407" s="166">
        <f>275482.82+126002.78+160661.4+126503.92+149061.58</f>
        <v>837712.5</v>
      </c>
    </row>
    <row r="408" spans="1:7" ht="23.25" customHeight="1">
      <c r="A408" s="155" t="s">
        <v>409</v>
      </c>
      <c r="B408" s="156"/>
      <c r="C408" s="156"/>
      <c r="D408" s="159"/>
      <c r="E408" s="165">
        <v>421012</v>
      </c>
      <c r="F408" s="75"/>
      <c r="G408" s="166">
        <v>11022.62</v>
      </c>
    </row>
    <row r="409" spans="1:7" ht="23.25" customHeight="1">
      <c r="A409" s="155" t="s">
        <v>22</v>
      </c>
      <c r="B409" s="156"/>
      <c r="C409" s="156"/>
      <c r="D409" s="159"/>
      <c r="E409" s="165">
        <v>421013</v>
      </c>
      <c r="F409" s="75"/>
      <c r="G409" s="166">
        <f>5473.67+5110.41</f>
        <v>10584.08</v>
      </c>
    </row>
    <row r="410" spans="1:7" ht="23.25" customHeight="1">
      <c r="A410" s="155" t="s">
        <v>250</v>
      </c>
      <c r="B410" s="156"/>
      <c r="C410" s="156"/>
      <c r="D410" s="159"/>
      <c r="E410" s="165">
        <v>421015</v>
      </c>
      <c r="F410" s="75"/>
      <c r="G410" s="166">
        <f>22520+32955+53903+31861+23544</f>
        <v>164783</v>
      </c>
    </row>
    <row r="411" spans="1:7" ht="23.25" customHeight="1">
      <c r="A411" s="155" t="s">
        <v>251</v>
      </c>
      <c r="B411" s="156"/>
      <c r="C411" s="156"/>
      <c r="D411" s="159"/>
      <c r="E411" s="165">
        <v>431002</v>
      </c>
      <c r="F411" s="75"/>
      <c r="G411" s="166">
        <v>6423887</v>
      </c>
    </row>
    <row r="412" spans="1:7" ht="23.25" customHeight="1">
      <c r="A412" s="156"/>
      <c r="B412" s="156"/>
      <c r="C412" s="156"/>
      <c r="D412" s="156"/>
      <c r="E412" s="218"/>
      <c r="F412" s="219"/>
      <c r="G412" s="220"/>
    </row>
    <row r="413" spans="1:7" ht="23.25" customHeight="1" thickBot="1">
      <c r="A413" s="156"/>
      <c r="B413" s="156"/>
      <c r="C413" s="156"/>
      <c r="D413" s="156"/>
      <c r="E413" s="218">
        <v>-2</v>
      </c>
      <c r="F413" s="219"/>
      <c r="G413" s="220"/>
    </row>
    <row r="414" spans="1:7" ht="23.25" customHeight="1" thickBot="1">
      <c r="A414" s="340" t="s">
        <v>29</v>
      </c>
      <c r="B414" s="341"/>
      <c r="C414" s="341"/>
      <c r="D414" s="342"/>
      <c r="E414" s="223" t="s">
        <v>30</v>
      </c>
      <c r="F414" s="148" t="s">
        <v>31</v>
      </c>
      <c r="G414" s="244" t="s">
        <v>32</v>
      </c>
    </row>
    <row r="415" spans="1:7" ht="23.25" customHeight="1">
      <c r="A415" s="155" t="s">
        <v>45</v>
      </c>
      <c r="B415" s="156"/>
      <c r="C415" s="156"/>
      <c r="D415" s="159"/>
      <c r="E415" s="161" t="s">
        <v>244</v>
      </c>
      <c r="F415" s="160">
        <f>1052281+571928+425400-65645-1000+167283+422000+422200+18483</f>
        <v>3012930</v>
      </c>
      <c r="G415" s="245"/>
    </row>
    <row r="416" spans="1:7" ht="23.25" customHeight="1">
      <c r="A416" s="155" t="s">
        <v>135</v>
      </c>
      <c r="B416" s="156"/>
      <c r="C416" s="156"/>
      <c r="D416" s="159"/>
      <c r="E416" s="162" t="s">
        <v>245</v>
      </c>
      <c r="F416" s="160">
        <f>414120+207060+207060+207060</f>
        <v>1035300</v>
      </c>
      <c r="G416" s="68"/>
    </row>
    <row r="417" spans="1:7" ht="23.25" customHeight="1">
      <c r="A417" s="155" t="s">
        <v>107</v>
      </c>
      <c r="B417" s="156"/>
      <c r="C417" s="156"/>
      <c r="D417" s="159"/>
      <c r="E417" s="162" t="s">
        <v>136</v>
      </c>
      <c r="F417" s="160">
        <f>340780+340780+340780+341490+341040</f>
        <v>1704870</v>
      </c>
      <c r="G417" s="68"/>
    </row>
    <row r="418" spans="1:7" ht="23.25" customHeight="1">
      <c r="A418" s="155" t="s">
        <v>93</v>
      </c>
      <c r="B418" s="156"/>
      <c r="C418" s="156"/>
      <c r="D418" s="159"/>
      <c r="E418" s="162" t="s">
        <v>136</v>
      </c>
      <c r="F418" s="160">
        <f>13310+13310+13310+13310+13310</f>
        <v>66550</v>
      </c>
      <c r="G418" s="68"/>
    </row>
    <row r="419" spans="1:7" ht="23.25" customHeight="1">
      <c r="A419" s="155" t="s">
        <v>33</v>
      </c>
      <c r="B419" s="156"/>
      <c r="C419" s="156"/>
      <c r="D419" s="159"/>
      <c r="E419" s="162" t="s">
        <v>136</v>
      </c>
      <c r="F419" s="160">
        <f>147075+137075+148475+148475+148475</f>
        <v>729575</v>
      </c>
      <c r="G419" s="68"/>
    </row>
    <row r="420" spans="1:7" ht="23.25" customHeight="1">
      <c r="A420" s="155" t="s">
        <v>80</v>
      </c>
      <c r="B420" s="156"/>
      <c r="C420" s="156"/>
      <c r="D420" s="159"/>
      <c r="E420" s="162" t="s">
        <v>137</v>
      </c>
      <c r="F420" s="158">
        <f>22515+20000+9930+13000</f>
        <v>65445</v>
      </c>
      <c r="G420" s="68"/>
    </row>
    <row r="421" spans="1:7" ht="23.25" customHeight="1">
      <c r="A421" s="155" t="s">
        <v>81</v>
      </c>
      <c r="B421" s="156"/>
      <c r="C421" s="156"/>
      <c r="D421" s="159"/>
      <c r="E421" s="162" t="s">
        <v>138</v>
      </c>
      <c r="F421" s="158">
        <f>305709.29-0.9+140000+288958.85+220010+228739.5</f>
        <v>1183416.74</v>
      </c>
      <c r="G421" s="68"/>
    </row>
    <row r="422" spans="1:7" ht="23.25" customHeight="1">
      <c r="A422" s="70" t="s">
        <v>83</v>
      </c>
      <c r="B422" s="156"/>
      <c r="C422" s="156"/>
      <c r="D422" s="159"/>
      <c r="E422" s="162" t="s">
        <v>246</v>
      </c>
      <c r="F422" s="158">
        <f>90550+90929+65645+221628.39+31381</f>
        <v>500133.39</v>
      </c>
      <c r="G422" s="68"/>
    </row>
    <row r="423" spans="1:7" ht="23.25" customHeight="1">
      <c r="A423" s="155" t="s">
        <v>34</v>
      </c>
      <c r="B423" s="156"/>
      <c r="C423" s="156"/>
      <c r="D423" s="159"/>
      <c r="E423" s="104">
        <v>534000</v>
      </c>
      <c r="F423" s="158">
        <f>14521.55+15448.29+22732.73+7784.88</f>
        <v>60487.45</v>
      </c>
      <c r="G423" s="163"/>
    </row>
    <row r="424" spans="1:7" ht="23.25" customHeight="1">
      <c r="A424" s="155" t="s">
        <v>35</v>
      </c>
      <c r="B424" s="156"/>
      <c r="C424" s="156"/>
      <c r="D424" s="159"/>
      <c r="E424" s="153">
        <v>561000</v>
      </c>
      <c r="F424" s="75">
        <f>273000+330522.47</f>
        <v>603522.47</v>
      </c>
      <c r="G424" s="166"/>
    </row>
    <row r="425" spans="1:7" ht="23.25" customHeight="1">
      <c r="A425" s="155" t="s">
        <v>406</v>
      </c>
      <c r="B425" s="156"/>
      <c r="C425" s="156"/>
      <c r="D425" s="159"/>
      <c r="E425" s="165">
        <v>541000</v>
      </c>
      <c r="F425" s="75">
        <f>7100+65500</f>
        <v>72600</v>
      </c>
      <c r="G425" s="166"/>
    </row>
    <row r="426" spans="1:7" ht="23.25" customHeight="1">
      <c r="A426" s="155"/>
      <c r="B426" s="156"/>
      <c r="C426" s="156"/>
      <c r="D426" s="159"/>
      <c r="E426" s="165"/>
      <c r="F426" s="75"/>
      <c r="G426" s="166"/>
    </row>
    <row r="427" spans="1:7" ht="23.25" customHeight="1">
      <c r="A427" s="155"/>
      <c r="B427" s="156"/>
      <c r="C427" s="156"/>
      <c r="D427" s="159"/>
      <c r="E427" s="165"/>
      <c r="F427" s="75"/>
      <c r="G427" s="166"/>
    </row>
    <row r="428" spans="1:7" ht="23.25" customHeight="1">
      <c r="A428" s="155"/>
      <c r="B428" s="156"/>
      <c r="C428" s="156"/>
      <c r="D428" s="159"/>
      <c r="E428" s="165"/>
      <c r="F428" s="75"/>
      <c r="G428" s="166"/>
    </row>
    <row r="429" spans="1:7" ht="23.25" customHeight="1">
      <c r="A429" s="155"/>
      <c r="B429" s="156"/>
      <c r="C429" s="156"/>
      <c r="D429" s="159"/>
      <c r="E429" s="165"/>
      <c r="F429" s="75"/>
      <c r="G429" s="166"/>
    </row>
    <row r="430" spans="1:7" ht="23.25" customHeight="1">
      <c r="A430" s="155"/>
      <c r="B430" s="156"/>
      <c r="C430" s="156"/>
      <c r="D430" s="159"/>
      <c r="E430" s="165"/>
      <c r="F430" s="75"/>
      <c r="G430" s="166"/>
    </row>
    <row r="431" spans="1:7" ht="23.25" customHeight="1">
      <c r="A431" s="155"/>
      <c r="B431" s="156"/>
      <c r="C431" s="156"/>
      <c r="D431" s="159"/>
      <c r="E431" s="165"/>
      <c r="F431" s="75"/>
      <c r="G431" s="166"/>
    </row>
    <row r="432" spans="1:7" ht="23.25" customHeight="1">
      <c r="A432" s="155"/>
      <c r="B432" s="156"/>
      <c r="C432" s="156"/>
      <c r="D432" s="159"/>
      <c r="E432" s="165"/>
      <c r="F432" s="75"/>
      <c r="G432" s="246"/>
    </row>
    <row r="433" spans="1:7" ht="23.25" customHeight="1" thickBot="1">
      <c r="A433" s="224"/>
      <c r="B433" s="225"/>
      <c r="C433" s="225"/>
      <c r="D433" s="226"/>
      <c r="E433" s="227"/>
      <c r="F433" s="171">
        <f>SUM(F374:F432)</f>
        <v>21719748.459999997</v>
      </c>
      <c r="G433" s="172">
        <f>SUM(G374:G432)</f>
        <v>22978270.269999996</v>
      </c>
    </row>
    <row r="434" ht="23.25" customHeight="1" thickTop="1"/>
    <row r="438" spans="1:6" ht="23.25" customHeight="1">
      <c r="A438" s="174" t="s">
        <v>0</v>
      </c>
      <c r="D438" s="175" t="s">
        <v>184</v>
      </c>
      <c r="F438" s="174" t="s">
        <v>181</v>
      </c>
    </row>
    <row r="439" spans="1:6" ht="23.25" customHeight="1">
      <c r="A439" s="174" t="s">
        <v>165</v>
      </c>
      <c r="D439" s="174" t="s">
        <v>185</v>
      </c>
      <c r="F439" s="174" t="s">
        <v>182</v>
      </c>
    </row>
    <row r="440" spans="1:6" ht="23.25" customHeight="1">
      <c r="A440" s="174" t="s">
        <v>179</v>
      </c>
      <c r="D440" s="174" t="s">
        <v>186</v>
      </c>
      <c r="F440" s="174" t="s">
        <v>183</v>
      </c>
    </row>
    <row r="441" ht="23.25" customHeight="1">
      <c r="A441" s="174" t="s">
        <v>1</v>
      </c>
    </row>
    <row r="442" ht="27" customHeight="1"/>
    <row r="453" spans="1:7" ht="23.25" customHeight="1">
      <c r="A453" s="335" t="s">
        <v>13</v>
      </c>
      <c r="B453" s="335"/>
      <c r="C453" s="335"/>
      <c r="D453" s="335"/>
      <c r="E453" s="335"/>
      <c r="F453" s="335"/>
      <c r="G453" s="335"/>
    </row>
    <row r="454" spans="1:7" ht="23.25" customHeight="1">
      <c r="A454" s="336" t="s">
        <v>115</v>
      </c>
      <c r="B454" s="336"/>
      <c r="C454" s="336"/>
      <c r="D454" s="336"/>
      <c r="E454" s="336"/>
      <c r="F454" s="336"/>
      <c r="G454" s="336"/>
    </row>
    <row r="455" spans="1:7" ht="23.25" customHeight="1">
      <c r="A455" s="147"/>
      <c r="B455" s="147"/>
      <c r="C455" s="147"/>
      <c r="D455" s="337" t="s">
        <v>267</v>
      </c>
      <c r="E455" s="337"/>
      <c r="F455" s="337"/>
      <c r="G455" s="147"/>
    </row>
    <row r="456" spans="1:7" ht="23.25" customHeight="1" thickBot="1">
      <c r="A456" s="336" t="s">
        <v>415</v>
      </c>
      <c r="B456" s="336"/>
      <c r="C456" s="336"/>
      <c r="D456" s="336"/>
      <c r="E456" s="336"/>
      <c r="F456" s="336"/>
      <c r="G456" s="336"/>
    </row>
    <row r="457" spans="1:7" ht="23.25" customHeight="1" thickBot="1">
      <c r="A457" s="338" t="s">
        <v>29</v>
      </c>
      <c r="B457" s="339"/>
      <c r="C457" s="339"/>
      <c r="D457" s="339"/>
      <c r="E457" s="148" t="s">
        <v>30</v>
      </c>
      <c r="F457" s="148" t="s">
        <v>31</v>
      </c>
      <c r="G457" s="149" t="s">
        <v>32</v>
      </c>
    </row>
    <row r="458" spans="1:7" ht="23.25" customHeight="1">
      <c r="A458" s="150" t="s">
        <v>108</v>
      </c>
      <c r="B458" s="151"/>
      <c r="C458" s="151"/>
      <c r="D458" s="152"/>
      <c r="E458" s="153">
        <v>110100</v>
      </c>
      <c r="F458" s="102">
        <f>12215.5-11864.75+4197-4323.5</f>
        <v>224.25</v>
      </c>
      <c r="G458" s="154"/>
    </row>
    <row r="459" spans="1:7" ht="23.25" customHeight="1">
      <c r="A459" s="155" t="s">
        <v>133</v>
      </c>
      <c r="B459" s="156"/>
      <c r="C459" s="156"/>
      <c r="D459" s="157"/>
      <c r="E459" s="153">
        <v>110201</v>
      </c>
      <c r="F459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+1070-2409103.19+30308.75+3608605.74+1158200.93-1512984.23+54053-2354972.23+71919.5+1874565.16</f>
        <v>11781765.18</v>
      </c>
      <c r="G459" s="158"/>
    </row>
    <row r="460" spans="1:9" ht="23.25" customHeight="1">
      <c r="A460" s="155" t="s">
        <v>11</v>
      </c>
      <c r="B460" s="156"/>
      <c r="C460" s="156"/>
      <c r="D460" s="159"/>
      <c r="E460" s="153">
        <v>110201</v>
      </c>
      <c r="F460" s="75">
        <f>167913.88+430.42+100000+220000-300000+30000+100000-100000+10439.92-100000+100000</f>
        <v>228784.22000000006</v>
      </c>
      <c r="G460" s="158"/>
      <c r="I460" s="173"/>
    </row>
    <row r="461" spans="1:7" ht="23.25" customHeight="1">
      <c r="A461" s="155" t="s">
        <v>82</v>
      </c>
      <c r="B461" s="156"/>
      <c r="C461" s="156"/>
      <c r="D461" s="159"/>
      <c r="E461" s="153">
        <v>110201</v>
      </c>
      <c r="F461" s="103">
        <f>2035.38+5.07+4.31</f>
        <v>2044.76</v>
      </c>
      <c r="G461" s="158"/>
    </row>
    <row r="462" spans="1:7" ht="23.25" customHeight="1">
      <c r="A462" s="155" t="s">
        <v>18</v>
      </c>
      <c r="B462" s="156"/>
      <c r="C462" s="156"/>
      <c r="D462" s="159"/>
      <c r="E462" s="153">
        <v>210402</v>
      </c>
      <c r="F462" s="160"/>
      <c r="G462" s="158">
        <f>794903-392500-17238.5-382500</f>
        <v>2664.5</v>
      </c>
    </row>
    <row r="463" spans="1:7" ht="23.25" customHeight="1">
      <c r="A463" s="155" t="s">
        <v>232</v>
      </c>
      <c r="B463" s="156"/>
      <c r="C463" s="156"/>
      <c r="D463" s="159"/>
      <c r="E463" s="153">
        <v>230102</v>
      </c>
      <c r="F463" s="160"/>
      <c r="G463" s="158">
        <f>4923.02-4923.02+13007.36-13007.36+2476.64+500-2976.64+3515.79-3515.79+8965.37</f>
        <v>8965.37</v>
      </c>
    </row>
    <row r="464" spans="1:9" ht="23.25" customHeight="1">
      <c r="A464" s="155" t="s">
        <v>252</v>
      </c>
      <c r="B464" s="156"/>
      <c r="C464" s="156"/>
      <c r="D464" s="159"/>
      <c r="E464" s="153">
        <v>230105</v>
      </c>
      <c r="F464" s="160"/>
      <c r="G464" s="158">
        <f>2299.34+3348.07</f>
        <v>5647.41</v>
      </c>
      <c r="I464" s="173"/>
    </row>
    <row r="465" spans="1:7" ht="23.25" customHeight="1">
      <c r="A465" s="155" t="s">
        <v>253</v>
      </c>
      <c r="B465" s="156"/>
      <c r="C465" s="156"/>
      <c r="D465" s="159"/>
      <c r="E465" s="153">
        <v>230106</v>
      </c>
      <c r="F465" s="160"/>
      <c r="G465" s="158">
        <f>2723+119.38-2842.38+639.93+1274.06+356.5</f>
        <v>2270.49</v>
      </c>
    </row>
    <row r="466" spans="1:9" ht="23.25" customHeight="1">
      <c r="A466" s="155" t="s">
        <v>233</v>
      </c>
      <c r="B466" s="156"/>
      <c r="C466" s="156"/>
      <c r="D466" s="159"/>
      <c r="E466" s="153">
        <v>230108</v>
      </c>
      <c r="F466" s="160"/>
      <c r="G466" s="158">
        <f>429650-166200-263450</f>
        <v>0</v>
      </c>
      <c r="I466" s="215"/>
    </row>
    <row r="467" spans="1:7" ht="23.25" customHeight="1">
      <c r="A467" s="155" t="s">
        <v>254</v>
      </c>
      <c r="B467" s="156"/>
      <c r="C467" s="156"/>
      <c r="D467" s="159"/>
      <c r="E467" s="153">
        <v>230116</v>
      </c>
      <c r="F467" s="160"/>
      <c r="G467" s="158">
        <v>178643.25</v>
      </c>
    </row>
    <row r="468" spans="1:7" ht="23.25" customHeight="1">
      <c r="A468" s="155" t="s">
        <v>255</v>
      </c>
      <c r="B468" s="156"/>
      <c r="C468" s="156"/>
      <c r="D468" s="159"/>
      <c r="E468" s="153">
        <v>230199</v>
      </c>
      <c r="F468" s="160"/>
      <c r="G468" s="158">
        <v>225</v>
      </c>
    </row>
    <row r="469" spans="1:9" ht="23.25" customHeight="1">
      <c r="A469" s="155" t="s">
        <v>256</v>
      </c>
      <c r="B469" s="156"/>
      <c r="C469" s="156"/>
      <c r="D469" s="159"/>
      <c r="E469" s="153">
        <v>230199</v>
      </c>
      <c r="F469" s="160"/>
      <c r="G469" s="158">
        <f>55725+335265+24450+13875+8450-9450+11600</f>
        <v>439915</v>
      </c>
      <c r="I469" s="173"/>
    </row>
    <row r="470" spans="1:7" ht="23.25" customHeight="1">
      <c r="A470" s="155" t="s">
        <v>257</v>
      </c>
      <c r="B470" s="156"/>
      <c r="C470" s="156"/>
      <c r="D470" s="159"/>
      <c r="E470" s="153">
        <v>230199</v>
      </c>
      <c r="F470" s="160"/>
      <c r="G470" s="158">
        <v>228784.22</v>
      </c>
    </row>
    <row r="471" spans="1:7" ht="23.25" customHeight="1">
      <c r="A471" s="155" t="s">
        <v>258</v>
      </c>
      <c r="B471" s="156"/>
      <c r="C471" s="156"/>
      <c r="D471" s="159"/>
      <c r="E471" s="153">
        <v>230199</v>
      </c>
      <c r="F471" s="160"/>
      <c r="G471" s="158">
        <v>110.69</v>
      </c>
    </row>
    <row r="472" spans="1:7" ht="23.25" customHeight="1">
      <c r="A472" s="155" t="s">
        <v>38</v>
      </c>
      <c r="B472" s="156"/>
      <c r="C472" s="156"/>
      <c r="D472" s="164"/>
      <c r="E472" s="153">
        <v>310000</v>
      </c>
      <c r="F472" s="158"/>
      <c r="G472" s="163">
        <v>2788709</v>
      </c>
    </row>
    <row r="473" spans="1:7" ht="23.25" customHeight="1">
      <c r="A473" s="155" t="s">
        <v>76</v>
      </c>
      <c r="B473" s="156"/>
      <c r="C473" s="156"/>
      <c r="D473" s="159"/>
      <c r="E473" s="153">
        <v>320000</v>
      </c>
      <c r="F473" s="158"/>
      <c r="G473" s="163">
        <v>6149240.45</v>
      </c>
    </row>
    <row r="474" spans="1:7" ht="23.25" customHeight="1">
      <c r="A474" s="155" t="s">
        <v>172</v>
      </c>
      <c r="B474" s="156"/>
      <c r="C474" s="156"/>
      <c r="D474" s="159"/>
      <c r="E474" s="153">
        <v>411001</v>
      </c>
      <c r="F474" s="158"/>
      <c r="G474" s="163">
        <f>1275.5+21070.25+705</f>
        <v>23050.75</v>
      </c>
    </row>
    <row r="475" spans="1:7" ht="23.25" customHeight="1">
      <c r="A475" s="155" t="s">
        <v>19</v>
      </c>
      <c r="B475" s="156"/>
      <c r="C475" s="156"/>
      <c r="D475" s="159"/>
      <c r="E475" s="153">
        <v>411002</v>
      </c>
      <c r="F475" s="158"/>
      <c r="G475" s="163">
        <f>10018.32+19942.44+5581.5</f>
        <v>35542.259999999995</v>
      </c>
    </row>
    <row r="476" spans="1:7" ht="23.25" customHeight="1">
      <c r="A476" s="155" t="s">
        <v>177</v>
      </c>
      <c r="B476" s="156"/>
      <c r="C476" s="156"/>
      <c r="D476" s="159"/>
      <c r="E476" s="153">
        <v>411003</v>
      </c>
      <c r="F476" s="158"/>
      <c r="G476" s="163">
        <v>2000</v>
      </c>
    </row>
    <row r="477" spans="1:7" ht="23.25" customHeight="1">
      <c r="A477" s="155" t="s">
        <v>198</v>
      </c>
      <c r="B477" s="156"/>
      <c r="C477" s="156"/>
      <c r="D477" s="159"/>
      <c r="E477" s="153">
        <v>412303</v>
      </c>
      <c r="F477" s="158"/>
      <c r="G477" s="163">
        <v>500</v>
      </c>
    </row>
    <row r="478" spans="1:7" ht="23.25" customHeight="1">
      <c r="A478" s="155" t="s">
        <v>227</v>
      </c>
      <c r="B478" s="156"/>
      <c r="C478" s="156"/>
      <c r="D478" s="159"/>
      <c r="E478" s="153">
        <v>412103</v>
      </c>
      <c r="F478" s="158"/>
      <c r="G478" s="163">
        <f>19.4+77.6+659.6</f>
        <v>756.6</v>
      </c>
    </row>
    <row r="479" spans="1:7" ht="23.25" customHeight="1">
      <c r="A479" s="155" t="s">
        <v>23</v>
      </c>
      <c r="B479" s="156"/>
      <c r="C479" s="156"/>
      <c r="D479" s="159"/>
      <c r="E479" s="153">
        <v>412106</v>
      </c>
      <c r="F479" s="158"/>
      <c r="G479" s="163">
        <f>1382+20+567</f>
        <v>1969</v>
      </c>
    </row>
    <row r="480" spans="1:7" ht="23.25" customHeight="1">
      <c r="A480" s="155" t="s">
        <v>385</v>
      </c>
      <c r="B480" s="156"/>
      <c r="C480" s="156"/>
      <c r="D480" s="159"/>
      <c r="E480" s="153">
        <v>412128</v>
      </c>
      <c r="F480" s="158"/>
      <c r="G480" s="163">
        <f>50+100+50</f>
        <v>200</v>
      </c>
    </row>
    <row r="481" spans="1:7" ht="23.25" customHeight="1">
      <c r="A481" s="155" t="s">
        <v>188</v>
      </c>
      <c r="B481" s="156"/>
      <c r="C481" s="156"/>
      <c r="D481" s="159"/>
      <c r="E481" s="153">
        <v>412210</v>
      </c>
      <c r="F481" s="158"/>
      <c r="G481" s="163">
        <f>1000+5900</f>
        <v>6900</v>
      </c>
    </row>
    <row r="482" spans="1:7" ht="23.25" customHeight="1">
      <c r="A482" s="155" t="s">
        <v>247</v>
      </c>
      <c r="B482" s="156"/>
      <c r="C482" s="156"/>
      <c r="D482" s="159"/>
      <c r="E482" s="153">
        <v>412307</v>
      </c>
      <c r="F482" s="247"/>
      <c r="G482" s="163">
        <f>1975</f>
        <v>1975</v>
      </c>
    </row>
    <row r="483" spans="1:7" ht="23.25" customHeight="1">
      <c r="A483" s="155" t="s">
        <v>27</v>
      </c>
      <c r="B483" s="156"/>
      <c r="C483" s="156"/>
      <c r="D483" s="164"/>
      <c r="E483" s="165">
        <v>415004</v>
      </c>
      <c r="F483" s="248"/>
      <c r="G483" s="75">
        <v>5200</v>
      </c>
    </row>
    <row r="484" spans="1:7" ht="23.25" customHeight="1">
      <c r="A484" s="155" t="s">
        <v>43</v>
      </c>
      <c r="B484" s="156"/>
      <c r="C484" s="156"/>
      <c r="D484" s="159"/>
      <c r="E484" s="161" t="s">
        <v>266</v>
      </c>
      <c r="F484" s="103"/>
      <c r="G484" s="75">
        <f>8169.4+100</f>
        <v>8269.4</v>
      </c>
    </row>
    <row r="485" spans="1:7" ht="23.25" customHeight="1">
      <c r="A485" s="155" t="s">
        <v>413</v>
      </c>
      <c r="B485" s="156"/>
      <c r="C485" s="156"/>
      <c r="D485" s="159"/>
      <c r="E485" s="161" t="s">
        <v>414</v>
      </c>
      <c r="F485" s="103"/>
      <c r="G485" s="75">
        <v>96742.29</v>
      </c>
    </row>
    <row r="486" spans="1:7" ht="23.25" customHeight="1">
      <c r="A486" s="155" t="s">
        <v>248</v>
      </c>
      <c r="B486" s="156"/>
      <c r="C486" s="156"/>
      <c r="D486" s="159"/>
      <c r="E486" s="165">
        <v>421307</v>
      </c>
      <c r="F486" s="75"/>
      <c r="G486" s="75">
        <f>1479825.59+732974.31+746545.91+1461389.9</f>
        <v>4420735.710000001</v>
      </c>
    </row>
    <row r="487" spans="1:7" ht="23.25" customHeight="1">
      <c r="A487" s="155" t="s">
        <v>249</v>
      </c>
      <c r="B487" s="156"/>
      <c r="C487" s="156"/>
      <c r="D487" s="159"/>
      <c r="E487" s="165">
        <v>421004</v>
      </c>
      <c r="F487" s="75"/>
      <c r="G487" s="166">
        <f>223111.55+111564.98+143657.5+182278.21+75697.93</f>
        <v>736310.1699999999</v>
      </c>
    </row>
    <row r="488" spans="1:7" ht="23.25" customHeight="1">
      <c r="A488" s="155" t="s">
        <v>24</v>
      </c>
      <c r="B488" s="156"/>
      <c r="C488" s="156"/>
      <c r="D488" s="159"/>
      <c r="E488" s="165">
        <v>421005</v>
      </c>
      <c r="F488" s="75"/>
      <c r="G488" s="166">
        <f>8361.66+7503.48+5991.83+8395.03+4826.93</f>
        <v>35078.93</v>
      </c>
    </row>
    <row r="489" spans="1:7" ht="23.25" customHeight="1">
      <c r="A489" s="155" t="s">
        <v>20</v>
      </c>
      <c r="B489" s="156"/>
      <c r="C489" s="156"/>
      <c r="D489" s="159"/>
      <c r="E489" s="165">
        <v>421006</v>
      </c>
      <c r="F489" s="75"/>
      <c r="G489" s="166">
        <f>104186.51+54104.3+77347.6+50934.64+63302.53</f>
        <v>349875.57999999996</v>
      </c>
    </row>
    <row r="490" spans="1:7" ht="23.25" customHeight="1">
      <c r="A490" s="155" t="s">
        <v>21</v>
      </c>
      <c r="B490" s="156"/>
      <c r="C490" s="156"/>
      <c r="D490" s="159"/>
      <c r="E490" s="165">
        <v>421007</v>
      </c>
      <c r="F490" s="75"/>
      <c r="G490" s="166">
        <f>275482.82+126002.78+160661.4+126503.92+149061.58</f>
        <v>837712.5</v>
      </c>
    </row>
    <row r="491" spans="1:7" ht="23.25" customHeight="1">
      <c r="A491" s="155" t="s">
        <v>409</v>
      </c>
      <c r="B491" s="156"/>
      <c r="C491" s="156"/>
      <c r="D491" s="159"/>
      <c r="E491" s="165">
        <v>421012</v>
      </c>
      <c r="F491" s="75"/>
      <c r="G491" s="166">
        <v>11022.62</v>
      </c>
    </row>
    <row r="492" spans="1:7" ht="23.25" customHeight="1">
      <c r="A492" s="155" t="s">
        <v>22</v>
      </c>
      <c r="B492" s="156"/>
      <c r="C492" s="156"/>
      <c r="D492" s="159"/>
      <c r="E492" s="165">
        <v>421013</v>
      </c>
      <c r="F492" s="75"/>
      <c r="G492" s="166">
        <f>5473.67+5110.41</f>
        <v>10584.08</v>
      </c>
    </row>
    <row r="493" spans="1:7" ht="23.25" customHeight="1">
      <c r="A493" s="155" t="s">
        <v>250</v>
      </c>
      <c r="B493" s="156"/>
      <c r="C493" s="156"/>
      <c r="D493" s="159"/>
      <c r="E493" s="165">
        <v>421015</v>
      </c>
      <c r="F493" s="75"/>
      <c r="G493" s="166">
        <f>22520+32955+53903+31861+23544</f>
        <v>164783</v>
      </c>
    </row>
    <row r="494" spans="1:7" ht="23.25" customHeight="1">
      <c r="A494" s="155" t="s">
        <v>251</v>
      </c>
      <c r="B494" s="156"/>
      <c r="C494" s="156"/>
      <c r="D494" s="159"/>
      <c r="E494" s="165">
        <v>431002</v>
      </c>
      <c r="F494" s="75"/>
      <c r="G494" s="166">
        <v>6423887</v>
      </c>
    </row>
    <row r="495" spans="1:7" ht="23.25" customHeight="1">
      <c r="A495" s="156"/>
      <c r="B495" s="156"/>
      <c r="C495" s="156"/>
      <c r="D495" s="156"/>
      <c r="E495" s="218"/>
      <c r="F495" s="219"/>
      <c r="G495" s="220"/>
    </row>
    <row r="496" spans="1:7" ht="23.25" customHeight="1" thickBot="1">
      <c r="A496" s="156"/>
      <c r="B496" s="156"/>
      <c r="C496" s="156"/>
      <c r="D496" s="156"/>
      <c r="E496" s="218">
        <v>-2</v>
      </c>
      <c r="F496" s="219"/>
      <c r="G496" s="220"/>
    </row>
    <row r="497" spans="1:7" ht="23.25" customHeight="1" thickBot="1">
      <c r="A497" s="340" t="s">
        <v>29</v>
      </c>
      <c r="B497" s="341"/>
      <c r="C497" s="341"/>
      <c r="D497" s="342"/>
      <c r="E497" s="223" t="s">
        <v>30</v>
      </c>
      <c r="F497" s="148" t="s">
        <v>31</v>
      </c>
      <c r="G497" s="244" t="s">
        <v>32</v>
      </c>
    </row>
    <row r="498" spans="1:9" ht="23.25" customHeight="1">
      <c r="A498" s="155" t="s">
        <v>45</v>
      </c>
      <c r="B498" s="156"/>
      <c r="C498" s="156"/>
      <c r="D498" s="159"/>
      <c r="E498" s="161" t="s">
        <v>244</v>
      </c>
      <c r="F498" s="160">
        <f>1052281+571928+425400-65645-1000+167283+422000+422200+18483+18483+422200</f>
        <v>3453613</v>
      </c>
      <c r="G498" s="245"/>
      <c r="I498" s="173"/>
    </row>
    <row r="499" spans="1:7" ht="23.25" customHeight="1">
      <c r="A499" s="155" t="s">
        <v>135</v>
      </c>
      <c r="B499" s="156"/>
      <c r="C499" s="156"/>
      <c r="D499" s="159"/>
      <c r="E499" s="162" t="s">
        <v>245</v>
      </c>
      <c r="F499" s="160">
        <f>414120+207060+207060+207060+207060</f>
        <v>1242360</v>
      </c>
      <c r="G499" s="68"/>
    </row>
    <row r="500" spans="1:7" ht="23.25" customHeight="1">
      <c r="A500" s="155" t="s">
        <v>107</v>
      </c>
      <c r="B500" s="156"/>
      <c r="C500" s="156"/>
      <c r="D500" s="159"/>
      <c r="E500" s="162" t="s">
        <v>136</v>
      </c>
      <c r="F500" s="160">
        <f>340780+340780+340780+341490+341040+341040</f>
        <v>2045910</v>
      </c>
      <c r="G500" s="68"/>
    </row>
    <row r="501" spans="1:7" ht="23.25" customHeight="1">
      <c r="A501" s="155" t="s">
        <v>93</v>
      </c>
      <c r="B501" s="156"/>
      <c r="C501" s="156"/>
      <c r="D501" s="159"/>
      <c r="E501" s="162" t="s">
        <v>136</v>
      </c>
      <c r="F501" s="160">
        <f>13310+13310+13310+13310+13310+13310</f>
        <v>79860</v>
      </c>
      <c r="G501" s="68"/>
    </row>
    <row r="502" spans="1:7" ht="23.25" customHeight="1">
      <c r="A502" s="155" t="s">
        <v>33</v>
      </c>
      <c r="B502" s="156"/>
      <c r="C502" s="156"/>
      <c r="D502" s="159"/>
      <c r="E502" s="162" t="s">
        <v>136</v>
      </c>
      <c r="F502" s="160">
        <f>147075+137075+148475+148475+148475+148475</f>
        <v>878050</v>
      </c>
      <c r="G502" s="68"/>
    </row>
    <row r="503" spans="1:7" ht="23.25" customHeight="1">
      <c r="A503" s="155" t="s">
        <v>80</v>
      </c>
      <c r="B503" s="156"/>
      <c r="C503" s="156"/>
      <c r="D503" s="159"/>
      <c r="E503" s="162" t="s">
        <v>137</v>
      </c>
      <c r="F503" s="158">
        <f>22515+20000+9930+13000+20600</f>
        <v>86045</v>
      </c>
      <c r="G503" s="68"/>
    </row>
    <row r="504" spans="1:9" ht="23.25" customHeight="1">
      <c r="A504" s="155" t="s">
        <v>81</v>
      </c>
      <c r="B504" s="156"/>
      <c r="C504" s="156"/>
      <c r="D504" s="159"/>
      <c r="E504" s="162" t="s">
        <v>138</v>
      </c>
      <c r="F504" s="158">
        <f>305709.29-0.9+140000+288958.85+220010+228739.5+532105</f>
        <v>1715521.74</v>
      </c>
      <c r="G504" s="68"/>
      <c r="I504" s="173"/>
    </row>
    <row r="505" spans="1:7" ht="23.25" customHeight="1">
      <c r="A505" s="70" t="s">
        <v>83</v>
      </c>
      <c r="B505" s="156"/>
      <c r="C505" s="156"/>
      <c r="D505" s="159"/>
      <c r="E505" s="162" t="s">
        <v>246</v>
      </c>
      <c r="F505" s="158">
        <f>90550+90929+65645+221628.39+31381+149257</f>
        <v>649390.39</v>
      </c>
      <c r="G505" s="68"/>
    </row>
    <row r="506" spans="1:7" ht="23.25" customHeight="1">
      <c r="A506" s="155" t="s">
        <v>34</v>
      </c>
      <c r="B506" s="156"/>
      <c r="C506" s="156"/>
      <c r="D506" s="159"/>
      <c r="E506" s="104">
        <v>534000</v>
      </c>
      <c r="F506" s="158">
        <f>14521.55+15448.29+22732.73+7784.88+23091.81</f>
        <v>83579.26</v>
      </c>
      <c r="G506" s="163"/>
    </row>
    <row r="507" spans="1:7" ht="23.25" customHeight="1">
      <c r="A507" s="155" t="s">
        <v>35</v>
      </c>
      <c r="B507" s="156"/>
      <c r="C507" s="156"/>
      <c r="D507" s="159"/>
      <c r="E507" s="153">
        <v>561000</v>
      </c>
      <c r="F507" s="75">
        <f>273000+330522.47+28000</f>
        <v>631522.47</v>
      </c>
      <c r="G507" s="166"/>
    </row>
    <row r="508" spans="1:7" ht="23.25" customHeight="1">
      <c r="A508" s="155" t="s">
        <v>406</v>
      </c>
      <c r="B508" s="156"/>
      <c r="C508" s="156"/>
      <c r="D508" s="159"/>
      <c r="E508" s="165">
        <v>541000</v>
      </c>
      <c r="F508" s="75">
        <f>7100+65500+27000</f>
        <v>99600</v>
      </c>
      <c r="G508" s="166"/>
    </row>
    <row r="509" spans="1:7" ht="23.25" customHeight="1">
      <c r="A509" s="155"/>
      <c r="B509" s="156"/>
      <c r="C509" s="156"/>
      <c r="D509" s="159"/>
      <c r="E509" s="165"/>
      <c r="F509" s="75"/>
      <c r="G509" s="166"/>
    </row>
    <row r="510" spans="1:7" ht="23.25" customHeight="1">
      <c r="A510" s="155"/>
      <c r="B510" s="156"/>
      <c r="C510" s="156"/>
      <c r="D510" s="159"/>
      <c r="E510" s="165"/>
      <c r="F510" s="75"/>
      <c r="G510" s="166"/>
    </row>
    <row r="511" spans="1:7" ht="23.25" customHeight="1">
      <c r="A511" s="155"/>
      <c r="B511" s="156"/>
      <c r="C511" s="156"/>
      <c r="D511" s="159"/>
      <c r="E511" s="165"/>
      <c r="F511" s="75"/>
      <c r="G511" s="166"/>
    </row>
    <row r="512" spans="1:7" ht="23.25" customHeight="1">
      <c r="A512" s="155"/>
      <c r="B512" s="156"/>
      <c r="C512" s="156"/>
      <c r="D512" s="159"/>
      <c r="E512" s="165"/>
      <c r="F512" s="75"/>
      <c r="G512" s="166"/>
    </row>
    <row r="513" spans="1:7" ht="23.25" customHeight="1">
      <c r="A513" s="155"/>
      <c r="B513" s="156"/>
      <c r="C513" s="156"/>
      <c r="D513" s="159"/>
      <c r="E513" s="165"/>
      <c r="F513" s="75"/>
      <c r="G513" s="166"/>
    </row>
    <row r="514" spans="1:7" ht="23.25" customHeight="1">
      <c r="A514" s="155"/>
      <c r="B514" s="156"/>
      <c r="C514" s="156"/>
      <c r="D514" s="159"/>
      <c r="E514" s="165"/>
      <c r="F514" s="75"/>
      <c r="G514" s="166"/>
    </row>
    <row r="515" spans="1:7" ht="23.25" customHeight="1">
      <c r="A515" s="155"/>
      <c r="B515" s="156"/>
      <c r="C515" s="156"/>
      <c r="D515" s="159"/>
      <c r="E515" s="165"/>
      <c r="F515" s="75"/>
      <c r="G515" s="246"/>
    </row>
    <row r="516" spans="1:7" ht="23.25" customHeight="1" thickBot="1">
      <c r="A516" s="224"/>
      <c r="B516" s="225"/>
      <c r="C516" s="225"/>
      <c r="D516" s="226"/>
      <c r="E516" s="227"/>
      <c r="F516" s="171">
        <f>SUM(F458:F515)</f>
        <v>22978270.27</v>
      </c>
      <c r="G516" s="172">
        <f>SUM(G458:G515)</f>
        <v>22978270.269999996</v>
      </c>
    </row>
    <row r="517" ht="23.25" customHeight="1" thickTop="1"/>
    <row r="521" spans="1:6" ht="23.25" customHeight="1">
      <c r="A521" s="174" t="s">
        <v>0</v>
      </c>
      <c r="D521" s="175" t="s">
        <v>184</v>
      </c>
      <c r="F521" s="174" t="s">
        <v>181</v>
      </c>
    </row>
    <row r="522" spans="1:6" ht="23.25" customHeight="1">
      <c r="A522" s="174" t="s">
        <v>165</v>
      </c>
      <c r="D522" s="174" t="s">
        <v>185</v>
      </c>
      <c r="F522" s="174" t="s">
        <v>182</v>
      </c>
    </row>
    <row r="523" spans="1:6" ht="23.25" customHeight="1">
      <c r="A523" s="174" t="s">
        <v>179</v>
      </c>
      <c r="D523" s="174" t="s">
        <v>186</v>
      </c>
      <c r="F523" s="174" t="s">
        <v>183</v>
      </c>
    </row>
    <row r="524" ht="23.25" customHeight="1">
      <c r="A524" s="174" t="s">
        <v>1</v>
      </c>
    </row>
    <row r="538" spans="1:7" ht="23.25" customHeight="1">
      <c r="A538" s="335" t="s">
        <v>13</v>
      </c>
      <c r="B538" s="335"/>
      <c r="C538" s="335"/>
      <c r="D538" s="335"/>
      <c r="E538" s="335"/>
      <c r="F538" s="335"/>
      <c r="G538" s="335"/>
    </row>
    <row r="539" spans="1:7" ht="23.25" customHeight="1">
      <c r="A539" s="336" t="s">
        <v>115</v>
      </c>
      <c r="B539" s="336"/>
      <c r="C539" s="336"/>
      <c r="D539" s="336"/>
      <c r="E539" s="336"/>
      <c r="F539" s="336"/>
      <c r="G539" s="336"/>
    </row>
    <row r="540" spans="1:7" ht="23.25" customHeight="1">
      <c r="A540" s="147"/>
      <c r="B540" s="147"/>
      <c r="C540" s="147"/>
      <c r="D540" s="337" t="s">
        <v>267</v>
      </c>
      <c r="E540" s="337"/>
      <c r="F540" s="337"/>
      <c r="G540" s="147"/>
    </row>
    <row r="541" spans="1:7" ht="23.25" customHeight="1" thickBot="1">
      <c r="A541" s="336" t="s">
        <v>421</v>
      </c>
      <c r="B541" s="336"/>
      <c r="C541" s="336"/>
      <c r="D541" s="336"/>
      <c r="E541" s="336"/>
      <c r="F541" s="336"/>
      <c r="G541" s="336"/>
    </row>
    <row r="542" spans="1:7" ht="23.25" customHeight="1" thickBot="1">
      <c r="A542" s="338" t="s">
        <v>29</v>
      </c>
      <c r="B542" s="339"/>
      <c r="C542" s="339"/>
      <c r="D542" s="339"/>
      <c r="E542" s="148" t="s">
        <v>30</v>
      </c>
      <c r="F542" s="148" t="s">
        <v>31</v>
      </c>
      <c r="G542" s="149" t="s">
        <v>32</v>
      </c>
    </row>
    <row r="543" spans="1:7" ht="21.75" customHeight="1">
      <c r="A543" s="150" t="s">
        <v>108</v>
      </c>
      <c r="B543" s="151"/>
      <c r="C543" s="151"/>
      <c r="D543" s="152"/>
      <c r="E543" s="153">
        <v>1101000</v>
      </c>
      <c r="F543" s="102">
        <f>12215.5-11864.75+4197-4323.5+5504.75-5631</f>
        <v>98</v>
      </c>
      <c r="G543" s="154"/>
    </row>
    <row r="544" spans="1:7" ht="21.75" customHeight="1">
      <c r="A544" s="155" t="s">
        <v>133</v>
      </c>
      <c r="B544" s="156"/>
      <c r="C544" s="156"/>
      <c r="D544" s="157"/>
      <c r="E544" s="153">
        <v>1102001</v>
      </c>
      <c r="F544" s="75">
        <f>10660776.11+2641191.96+22163-16-2218382.01+17972.25-2069306.29+1876154.14+1155132.15-1699966.34+1309161+362756.27+1250+42997.25-1488089.69+1653196.06+42799.25-2157424.41+1974863.6+1364200.97-2430377.26+45.5-2129997.86+6155.8+4050297.77-1788544.15+472297.1+1330617.03+0.9-2807004.8+1065182.45+1070-2409103.19+30308.75+3608605.74+1158200.93-1512984.23+54053-2354972.23+71919.5+1874565.16+83746.04+131351-1801559.92</f>
        <v>10195302.299999999</v>
      </c>
      <c r="G544" s="158"/>
    </row>
    <row r="545" spans="1:7" ht="21.75" customHeight="1">
      <c r="A545" s="155" t="s">
        <v>11</v>
      </c>
      <c r="B545" s="156"/>
      <c r="C545" s="156"/>
      <c r="D545" s="159"/>
      <c r="E545" s="153">
        <v>11012001</v>
      </c>
      <c r="F545" s="75">
        <f>167913.88+430.42+100000+220000-300000+30000+100000-100000+10439.92-100000+100000+468.43</f>
        <v>229252.65000000005</v>
      </c>
      <c r="G545" s="158"/>
    </row>
    <row r="546" spans="1:7" ht="21.75" customHeight="1">
      <c r="A546" s="155" t="s">
        <v>82</v>
      </c>
      <c r="B546" s="156"/>
      <c r="C546" s="156"/>
      <c r="D546" s="159"/>
      <c r="E546" s="153">
        <v>11020001</v>
      </c>
      <c r="F546" s="103">
        <f>2035.38+5.07+4.31+4.07</f>
        <v>2048.83</v>
      </c>
      <c r="G546" s="158"/>
    </row>
    <row r="547" spans="1:7" ht="21.75" customHeight="1">
      <c r="A547" s="155" t="s">
        <v>134</v>
      </c>
      <c r="B547" s="156"/>
      <c r="C547" s="156"/>
      <c r="D547" s="159"/>
      <c r="E547" s="153">
        <v>11012003</v>
      </c>
      <c r="F547" s="103">
        <v>2139871.7</v>
      </c>
      <c r="G547" s="158"/>
    </row>
    <row r="548" spans="1:7" ht="21.75" customHeight="1">
      <c r="A548" s="155" t="s">
        <v>18</v>
      </c>
      <c r="B548" s="156"/>
      <c r="C548" s="156"/>
      <c r="D548" s="159"/>
      <c r="E548" s="153">
        <v>21010000</v>
      </c>
      <c r="F548" s="160"/>
      <c r="G548" s="158">
        <f>794903-392500-17238.5-382500</f>
        <v>2664.5</v>
      </c>
    </row>
    <row r="549" spans="1:7" ht="21.75" customHeight="1">
      <c r="A549" s="155" t="s">
        <v>232</v>
      </c>
      <c r="B549" s="156"/>
      <c r="C549" s="156"/>
      <c r="D549" s="159"/>
      <c r="E549" s="153">
        <v>21040001</v>
      </c>
      <c r="F549" s="160"/>
      <c r="G549" s="158">
        <v>4612.69</v>
      </c>
    </row>
    <row r="550" spans="1:7" ht="21.75" customHeight="1">
      <c r="A550" s="155" t="s">
        <v>252</v>
      </c>
      <c r="B550" s="156"/>
      <c r="C550" s="156"/>
      <c r="D550" s="159"/>
      <c r="E550" s="153">
        <v>21040004</v>
      </c>
      <c r="F550" s="160"/>
      <c r="G550" s="158">
        <f>2299.34+3348.07</f>
        <v>5647.41</v>
      </c>
    </row>
    <row r="551" spans="1:7" ht="21.75" customHeight="1">
      <c r="A551" s="155" t="s">
        <v>253</v>
      </c>
      <c r="B551" s="156"/>
      <c r="C551" s="156"/>
      <c r="D551" s="159"/>
      <c r="E551" s="153">
        <v>21040005</v>
      </c>
      <c r="F551" s="160"/>
      <c r="G551" s="158">
        <f>2400.02+119.38</f>
        <v>2519.4</v>
      </c>
    </row>
    <row r="552" spans="1:7" ht="21.75" customHeight="1">
      <c r="A552" s="155" t="s">
        <v>254</v>
      </c>
      <c r="B552" s="156"/>
      <c r="C552" s="156"/>
      <c r="D552" s="159"/>
      <c r="E552" s="153">
        <v>21040014</v>
      </c>
      <c r="F552" s="160"/>
      <c r="G552" s="158">
        <v>178643.25</v>
      </c>
    </row>
    <row r="553" spans="1:7" ht="21.75" customHeight="1">
      <c r="A553" s="155" t="s">
        <v>255</v>
      </c>
      <c r="B553" s="156"/>
      <c r="C553" s="156"/>
      <c r="D553" s="159"/>
      <c r="E553" s="153">
        <v>21040099</v>
      </c>
      <c r="F553" s="160"/>
      <c r="G553" s="158">
        <v>225</v>
      </c>
    </row>
    <row r="554" spans="1:7" ht="21.75" customHeight="1">
      <c r="A554" s="155" t="s">
        <v>256</v>
      </c>
      <c r="B554" s="156"/>
      <c r="C554" s="156"/>
      <c r="D554" s="159"/>
      <c r="E554" s="153">
        <v>21040008</v>
      </c>
      <c r="F554" s="160"/>
      <c r="G554" s="158">
        <f>55725+335265+24450+13875+8450-9450+11600</f>
        <v>439915</v>
      </c>
    </row>
    <row r="555" spans="1:7" ht="21.75" customHeight="1">
      <c r="A555" s="155" t="s">
        <v>257</v>
      </c>
      <c r="B555" s="156"/>
      <c r="C555" s="156"/>
      <c r="D555" s="159"/>
      <c r="E555" s="153">
        <v>21040099</v>
      </c>
      <c r="F555" s="160"/>
      <c r="G555" s="158">
        <f>228784.22+468.43</f>
        <v>229252.65</v>
      </c>
    </row>
    <row r="556" spans="1:7" ht="21.75" customHeight="1">
      <c r="A556" s="155" t="s">
        <v>258</v>
      </c>
      <c r="B556" s="156"/>
      <c r="C556" s="156"/>
      <c r="D556" s="159"/>
      <c r="E556" s="153">
        <v>21040099</v>
      </c>
      <c r="F556" s="160"/>
      <c r="G556" s="158">
        <f>110.69+4.07</f>
        <v>114.75999999999999</v>
      </c>
    </row>
    <row r="557" spans="1:7" ht="21.75" customHeight="1">
      <c r="A557" s="155" t="s">
        <v>422</v>
      </c>
      <c r="B557" s="156"/>
      <c r="C557" s="156"/>
      <c r="D557" s="159"/>
      <c r="E557" s="153">
        <v>21040099</v>
      </c>
      <c r="F557" s="160"/>
      <c r="G557" s="158">
        <v>50000</v>
      </c>
    </row>
    <row r="558" spans="1:7" ht="21.75" customHeight="1">
      <c r="A558" s="155" t="s">
        <v>38</v>
      </c>
      <c r="B558" s="156"/>
      <c r="C558" s="156"/>
      <c r="D558" s="164"/>
      <c r="E558" s="153">
        <v>31000000</v>
      </c>
      <c r="F558" s="158"/>
      <c r="G558" s="163">
        <v>2788709</v>
      </c>
    </row>
    <row r="559" spans="1:7" ht="21.75" customHeight="1">
      <c r="A559" s="155" t="s">
        <v>76</v>
      </c>
      <c r="B559" s="156"/>
      <c r="C559" s="156"/>
      <c r="D559" s="159"/>
      <c r="E559" s="153">
        <v>32000000</v>
      </c>
      <c r="F559" s="158"/>
      <c r="G559" s="163">
        <v>6149240.45</v>
      </c>
    </row>
    <row r="560" spans="1:10" ht="21.75" customHeight="1">
      <c r="A560" s="155" t="s">
        <v>172</v>
      </c>
      <c r="B560" s="156"/>
      <c r="C560" s="156"/>
      <c r="D560" s="159"/>
      <c r="E560" s="153">
        <v>41100001</v>
      </c>
      <c r="F560" s="158"/>
      <c r="G560" s="163">
        <f>1275.5+21070.25+705</f>
        <v>23050.75</v>
      </c>
      <c r="I560" s="282"/>
      <c r="J560" s="173"/>
    </row>
    <row r="561" spans="1:10" ht="21.75" customHeight="1">
      <c r="A561" s="155" t="s">
        <v>19</v>
      </c>
      <c r="B561" s="156"/>
      <c r="C561" s="156"/>
      <c r="D561" s="159"/>
      <c r="E561" s="153">
        <v>41100002</v>
      </c>
      <c r="F561" s="158"/>
      <c r="G561" s="163">
        <v>39439.1</v>
      </c>
      <c r="I561" s="282"/>
      <c r="J561" s="173"/>
    </row>
    <row r="562" spans="1:10" ht="21.75" customHeight="1">
      <c r="A562" s="155" t="s">
        <v>177</v>
      </c>
      <c r="B562" s="156"/>
      <c r="C562" s="156"/>
      <c r="D562" s="159"/>
      <c r="E562" s="153">
        <v>41100003</v>
      </c>
      <c r="F562" s="158"/>
      <c r="G562" s="163">
        <v>2000</v>
      </c>
      <c r="I562" s="282"/>
      <c r="J562" s="173"/>
    </row>
    <row r="563" spans="1:10" ht="21.75" customHeight="1">
      <c r="A563" s="155" t="s">
        <v>198</v>
      </c>
      <c r="B563" s="156"/>
      <c r="C563" s="156"/>
      <c r="D563" s="159"/>
      <c r="E563" s="153">
        <v>41230003</v>
      </c>
      <c r="F563" s="158"/>
      <c r="G563" s="163">
        <v>500</v>
      </c>
      <c r="I563" s="282"/>
      <c r="J563" s="173"/>
    </row>
    <row r="564" spans="1:10" ht="21.75" customHeight="1">
      <c r="A564" s="155" t="s">
        <v>227</v>
      </c>
      <c r="B564" s="156"/>
      <c r="C564" s="156"/>
      <c r="D564" s="159"/>
      <c r="E564" s="153">
        <v>41210004</v>
      </c>
      <c r="F564" s="158"/>
      <c r="G564" s="163">
        <f>19.4+77.6+659.6</f>
        <v>756.6</v>
      </c>
      <c r="I564" s="282"/>
      <c r="J564" s="173"/>
    </row>
    <row r="565" spans="1:10" ht="21.75" customHeight="1">
      <c r="A565" s="155" t="s">
        <v>23</v>
      </c>
      <c r="B565" s="156"/>
      <c r="C565" s="156"/>
      <c r="D565" s="159"/>
      <c r="E565" s="153">
        <v>41210007</v>
      </c>
      <c r="F565" s="158"/>
      <c r="G565" s="163">
        <v>2271</v>
      </c>
      <c r="I565" s="282"/>
      <c r="J565" s="173"/>
    </row>
    <row r="566" spans="1:10" ht="21.75" customHeight="1">
      <c r="A566" s="155" t="s">
        <v>385</v>
      </c>
      <c r="B566" s="156"/>
      <c r="C566" s="156"/>
      <c r="D566" s="159"/>
      <c r="E566" s="153">
        <v>41210029</v>
      </c>
      <c r="F566" s="158"/>
      <c r="G566" s="163">
        <f>50+100+50</f>
        <v>200</v>
      </c>
      <c r="I566" s="282"/>
      <c r="J566" s="173"/>
    </row>
    <row r="567" spans="1:10" ht="21.75" customHeight="1">
      <c r="A567" s="155" t="s">
        <v>188</v>
      </c>
      <c r="B567" s="156"/>
      <c r="C567" s="156"/>
      <c r="D567" s="159"/>
      <c r="E567" s="153">
        <v>41220010</v>
      </c>
      <c r="F567" s="158"/>
      <c r="G567" s="163">
        <f>1000+5900</f>
        <v>6900</v>
      </c>
      <c r="I567" s="282"/>
      <c r="J567" s="173"/>
    </row>
    <row r="568" spans="1:10" ht="21.75" customHeight="1">
      <c r="A568" s="155" t="s">
        <v>247</v>
      </c>
      <c r="B568" s="156"/>
      <c r="C568" s="156"/>
      <c r="D568" s="159"/>
      <c r="E568" s="153">
        <v>41230003</v>
      </c>
      <c r="F568" s="247"/>
      <c r="G568" s="163">
        <f>1975</f>
        <v>1975</v>
      </c>
      <c r="I568" s="282"/>
      <c r="J568" s="173"/>
    </row>
    <row r="569" spans="1:10" ht="21.75" customHeight="1">
      <c r="A569" s="155" t="s">
        <v>174</v>
      </c>
      <c r="B569" s="156"/>
      <c r="C569" s="156"/>
      <c r="D569" s="159"/>
      <c r="E569" s="153">
        <v>41300003</v>
      </c>
      <c r="F569" s="247"/>
      <c r="G569" s="163">
        <v>23672.04</v>
      </c>
      <c r="I569" s="282"/>
      <c r="J569" s="173"/>
    </row>
    <row r="570" spans="1:10" ht="21.75" customHeight="1">
      <c r="A570" s="155" t="s">
        <v>27</v>
      </c>
      <c r="B570" s="156"/>
      <c r="C570" s="156"/>
      <c r="D570" s="164"/>
      <c r="E570" s="165">
        <v>41500004</v>
      </c>
      <c r="F570" s="248"/>
      <c r="G570" s="75">
        <v>5200</v>
      </c>
      <c r="I570" s="282"/>
      <c r="J570" s="173"/>
    </row>
    <row r="571" spans="1:10" ht="21.75" customHeight="1">
      <c r="A571" s="155" t="s">
        <v>43</v>
      </c>
      <c r="B571" s="156"/>
      <c r="C571" s="156"/>
      <c r="D571" s="159"/>
      <c r="E571" s="161" t="s">
        <v>299</v>
      </c>
      <c r="F571" s="103"/>
      <c r="G571" s="75">
        <f>8169.4+100</f>
        <v>8269.4</v>
      </c>
      <c r="I571" s="282"/>
      <c r="J571" s="173"/>
    </row>
    <row r="572" spans="1:10" ht="21.75" customHeight="1">
      <c r="A572" s="155" t="s">
        <v>413</v>
      </c>
      <c r="B572" s="156"/>
      <c r="C572" s="156"/>
      <c r="D572" s="159"/>
      <c r="E572" s="161" t="s">
        <v>305</v>
      </c>
      <c r="F572" s="103"/>
      <c r="G572" s="75">
        <v>96742.29</v>
      </c>
      <c r="I572" s="282"/>
      <c r="J572" s="173"/>
    </row>
    <row r="573" spans="1:10" ht="21.75" customHeight="1">
      <c r="A573" s="155" t="s">
        <v>248</v>
      </c>
      <c r="B573" s="156"/>
      <c r="C573" s="156"/>
      <c r="D573" s="159"/>
      <c r="E573" s="165">
        <v>42100002</v>
      </c>
      <c r="F573" s="75"/>
      <c r="G573" s="75">
        <f>1479825.59+732974.31+746545.91+1461389.9</f>
        <v>4420735.710000001</v>
      </c>
      <c r="I573" s="282"/>
      <c r="J573" s="173"/>
    </row>
    <row r="574" spans="1:10" ht="21.75" customHeight="1">
      <c r="A574" s="155" t="s">
        <v>249</v>
      </c>
      <c r="B574" s="156"/>
      <c r="C574" s="156"/>
      <c r="D574" s="159"/>
      <c r="E574" s="165">
        <v>42100004</v>
      </c>
      <c r="F574" s="75"/>
      <c r="G574" s="166">
        <v>913045.91</v>
      </c>
      <c r="I574" s="282"/>
      <c r="J574" s="173"/>
    </row>
    <row r="575" spans="1:10" ht="21.75" customHeight="1">
      <c r="A575" s="155" t="s">
        <v>24</v>
      </c>
      <c r="B575" s="156"/>
      <c r="C575" s="156"/>
      <c r="D575" s="159"/>
      <c r="E575" s="165">
        <v>42100005</v>
      </c>
      <c r="F575" s="75"/>
      <c r="G575" s="166">
        <v>40294.79</v>
      </c>
      <c r="I575" s="282"/>
      <c r="J575" s="173"/>
    </row>
    <row r="576" spans="1:10" ht="21.75" customHeight="1">
      <c r="A576" s="155" t="s">
        <v>20</v>
      </c>
      <c r="B576" s="156"/>
      <c r="C576" s="156"/>
      <c r="D576" s="159"/>
      <c r="E576" s="165">
        <v>42100006</v>
      </c>
      <c r="F576" s="75"/>
      <c r="G576" s="166">
        <v>427291.29</v>
      </c>
      <c r="I576" s="282"/>
      <c r="J576" s="173"/>
    </row>
    <row r="577" spans="1:10" ht="21.75" customHeight="1">
      <c r="A577" s="155" t="s">
        <v>21</v>
      </c>
      <c r="B577" s="156"/>
      <c r="C577" s="156"/>
      <c r="D577" s="159"/>
      <c r="E577" s="165">
        <v>42100007</v>
      </c>
      <c r="F577" s="75"/>
      <c r="G577" s="166">
        <v>1012743.89</v>
      </c>
      <c r="I577" s="282"/>
      <c r="J577" s="173"/>
    </row>
    <row r="578" spans="1:10" ht="21.75" customHeight="1">
      <c r="A578" s="155" t="s">
        <v>409</v>
      </c>
      <c r="B578" s="156"/>
      <c r="C578" s="156"/>
      <c r="D578" s="159"/>
      <c r="E578" s="165">
        <v>42100012</v>
      </c>
      <c r="F578" s="75"/>
      <c r="G578" s="166">
        <v>11022.62</v>
      </c>
      <c r="I578" s="282"/>
      <c r="J578" s="173"/>
    </row>
    <row r="579" spans="1:10" ht="21.75" customHeight="1">
      <c r="A579" s="155" t="s">
        <v>22</v>
      </c>
      <c r="B579" s="156"/>
      <c r="C579" s="156"/>
      <c r="D579" s="159"/>
      <c r="E579" s="165">
        <v>42100013</v>
      </c>
      <c r="F579" s="75"/>
      <c r="G579" s="166">
        <f>5473.67+5110.41</f>
        <v>10584.08</v>
      </c>
      <c r="I579" s="282"/>
      <c r="J579" s="173"/>
    </row>
    <row r="580" spans="1:10" ht="21.75" customHeight="1">
      <c r="A580" s="155" t="s">
        <v>250</v>
      </c>
      <c r="B580" s="156"/>
      <c r="C580" s="156"/>
      <c r="D580" s="159"/>
      <c r="E580" s="165">
        <v>42100015</v>
      </c>
      <c r="F580" s="75"/>
      <c r="G580" s="166">
        <v>182494</v>
      </c>
      <c r="I580" s="282"/>
      <c r="J580" s="173"/>
    </row>
    <row r="581" spans="1:10" ht="21.75" customHeight="1">
      <c r="A581" s="155" t="s">
        <v>251</v>
      </c>
      <c r="B581" s="156"/>
      <c r="C581" s="156"/>
      <c r="D581" s="159"/>
      <c r="E581" s="165">
        <v>43100002</v>
      </c>
      <c r="F581" s="75"/>
      <c r="G581" s="166">
        <v>8243000</v>
      </c>
      <c r="I581" s="282"/>
      <c r="J581" s="173"/>
    </row>
    <row r="582" spans="1:10" ht="23.25" customHeight="1">
      <c r="A582" s="156"/>
      <c r="B582" s="156"/>
      <c r="C582" s="156"/>
      <c r="D582" s="156"/>
      <c r="E582" s="218"/>
      <c r="F582" s="219"/>
      <c r="G582" s="220"/>
      <c r="I582" s="282"/>
      <c r="J582" s="173"/>
    </row>
    <row r="583" spans="1:7" ht="23.25" customHeight="1" thickBot="1">
      <c r="A583" s="156"/>
      <c r="B583" s="156"/>
      <c r="C583" s="156"/>
      <c r="D583" s="156"/>
      <c r="E583" s="218">
        <v>-2</v>
      </c>
      <c r="F583" s="219"/>
      <c r="G583" s="220"/>
    </row>
    <row r="584" spans="1:7" ht="23.25" customHeight="1" thickBot="1">
      <c r="A584" s="340" t="s">
        <v>29</v>
      </c>
      <c r="B584" s="341"/>
      <c r="C584" s="341"/>
      <c r="D584" s="342"/>
      <c r="E584" s="223" t="s">
        <v>30</v>
      </c>
      <c r="F584" s="148" t="s">
        <v>31</v>
      </c>
      <c r="G584" s="244" t="s">
        <v>32</v>
      </c>
    </row>
    <row r="585" spans="1:7" ht="23.25" customHeight="1">
      <c r="A585" s="155" t="s">
        <v>45</v>
      </c>
      <c r="B585" s="156"/>
      <c r="C585" s="156"/>
      <c r="D585" s="159"/>
      <c r="E585" s="161" t="s">
        <v>244</v>
      </c>
      <c r="F585" s="160">
        <f>1052281+571928+425400-65645-1000+167283+422000+422200+18483+18483+422200+422400-700+97883</f>
        <v>3973196</v>
      </c>
      <c r="G585" s="245"/>
    </row>
    <row r="586" spans="1:7" ht="23.25" customHeight="1">
      <c r="A586" s="155" t="s">
        <v>135</v>
      </c>
      <c r="B586" s="156"/>
      <c r="C586" s="156"/>
      <c r="D586" s="159"/>
      <c r="E586" s="162" t="s">
        <v>245</v>
      </c>
      <c r="F586" s="160">
        <v>1449420</v>
      </c>
      <c r="G586" s="68"/>
    </row>
    <row r="587" spans="1:7" ht="23.25" customHeight="1">
      <c r="A587" s="155" t="s">
        <v>107</v>
      </c>
      <c r="B587" s="156"/>
      <c r="C587" s="156"/>
      <c r="D587" s="159"/>
      <c r="E587" s="162" t="s">
        <v>136</v>
      </c>
      <c r="F587" s="160">
        <f>340780+340780+340780+341490+341040+341040+327204</f>
        <v>2373114</v>
      </c>
      <c r="G587" s="68"/>
    </row>
    <row r="588" spans="1:7" ht="23.25" customHeight="1">
      <c r="A588" s="155" t="s">
        <v>93</v>
      </c>
      <c r="B588" s="156"/>
      <c r="C588" s="156"/>
      <c r="D588" s="159"/>
      <c r="E588" s="162" t="s">
        <v>136</v>
      </c>
      <c r="F588" s="160">
        <f>13310+13310+13310+13310+13310+13310+13760</f>
        <v>93620</v>
      </c>
      <c r="G588" s="68"/>
    </row>
    <row r="589" spans="1:7" ht="23.25" customHeight="1">
      <c r="A589" s="155" t="s">
        <v>33</v>
      </c>
      <c r="B589" s="156"/>
      <c r="C589" s="156"/>
      <c r="D589" s="159"/>
      <c r="E589" s="162" t="s">
        <v>136</v>
      </c>
      <c r="F589" s="160">
        <f>147075+137075+148475+148475+148475+148475+148475</f>
        <v>1026525</v>
      </c>
      <c r="G589" s="68"/>
    </row>
    <row r="590" spans="1:7" ht="23.25" customHeight="1">
      <c r="A590" s="155" t="s">
        <v>80</v>
      </c>
      <c r="B590" s="156"/>
      <c r="C590" s="156"/>
      <c r="D590" s="159"/>
      <c r="E590" s="162" t="s">
        <v>137</v>
      </c>
      <c r="F590" s="158">
        <f>22515+20000+9930+13000+20600+8000-4800</f>
        <v>89245</v>
      </c>
      <c r="G590" s="68"/>
    </row>
    <row r="591" spans="1:7" ht="23.25" customHeight="1">
      <c r="A591" s="155" t="s">
        <v>81</v>
      </c>
      <c r="B591" s="156"/>
      <c r="C591" s="156"/>
      <c r="D591" s="159"/>
      <c r="E591" s="162" t="s">
        <v>138</v>
      </c>
      <c r="F591" s="158">
        <f>305709.29-0.9+140000+288958.85+220010+228739.5+532105+322037.36</f>
        <v>2037559.1</v>
      </c>
      <c r="G591" s="68"/>
    </row>
    <row r="592" spans="1:7" ht="23.25" customHeight="1">
      <c r="A592" s="70" t="s">
        <v>83</v>
      </c>
      <c r="B592" s="156"/>
      <c r="C592" s="156"/>
      <c r="D592" s="159"/>
      <c r="E592" s="162" t="s">
        <v>246</v>
      </c>
      <c r="F592" s="158">
        <f>90550+90929+65645+221628.39+31381+149257+236143.88</f>
        <v>885534.27</v>
      </c>
      <c r="G592" s="68"/>
    </row>
    <row r="593" spans="1:7" ht="23.25" customHeight="1">
      <c r="A593" s="155" t="s">
        <v>34</v>
      </c>
      <c r="B593" s="156"/>
      <c r="C593" s="156"/>
      <c r="D593" s="159"/>
      <c r="E593" s="104">
        <v>534000</v>
      </c>
      <c r="F593" s="158">
        <f>14521.55+15448.29+22732.73+7784.88+23091.81+244</f>
        <v>83823.26</v>
      </c>
      <c r="G593" s="163"/>
    </row>
    <row r="594" spans="1:7" ht="23.25" customHeight="1">
      <c r="A594" s="155" t="s">
        <v>35</v>
      </c>
      <c r="B594" s="156"/>
      <c r="C594" s="156"/>
      <c r="D594" s="159"/>
      <c r="E594" s="153">
        <v>561000</v>
      </c>
      <c r="F594" s="75">
        <f>273000+330522.47+28000</f>
        <v>631522.47</v>
      </c>
      <c r="G594" s="166"/>
    </row>
    <row r="595" spans="1:7" ht="23.25" customHeight="1">
      <c r="A595" s="155" t="s">
        <v>406</v>
      </c>
      <c r="B595" s="156"/>
      <c r="C595" s="156"/>
      <c r="D595" s="159"/>
      <c r="E595" s="165">
        <v>541000</v>
      </c>
      <c r="F595" s="75">
        <f>7100+65500+27000+14000</f>
        <v>113600</v>
      </c>
      <c r="G595" s="166"/>
    </row>
    <row r="596" spans="1:7" ht="23.25" customHeight="1">
      <c r="A596" s="155"/>
      <c r="B596" s="156"/>
      <c r="C596" s="156"/>
      <c r="D596" s="159"/>
      <c r="E596" s="165"/>
      <c r="F596" s="75"/>
      <c r="G596" s="166"/>
    </row>
    <row r="597" spans="1:7" ht="23.25" customHeight="1">
      <c r="A597" s="155"/>
      <c r="B597" s="156"/>
      <c r="C597" s="156"/>
      <c r="D597" s="159"/>
      <c r="E597" s="165"/>
      <c r="F597" s="75"/>
      <c r="G597" s="166"/>
    </row>
    <row r="598" spans="1:7" ht="23.25" customHeight="1">
      <c r="A598" s="155"/>
      <c r="B598" s="156"/>
      <c r="C598" s="156"/>
      <c r="D598" s="159"/>
      <c r="E598" s="165"/>
      <c r="F598" s="75"/>
      <c r="G598" s="166"/>
    </row>
    <row r="599" spans="1:7" ht="23.25" customHeight="1">
      <c r="A599" s="155"/>
      <c r="B599" s="156"/>
      <c r="C599" s="156"/>
      <c r="D599" s="159"/>
      <c r="E599" s="165"/>
      <c r="F599" s="75"/>
      <c r="G599" s="166"/>
    </row>
    <row r="600" spans="1:7" ht="23.25" customHeight="1">
      <c r="A600" s="155"/>
      <c r="B600" s="156"/>
      <c r="C600" s="156"/>
      <c r="D600" s="159"/>
      <c r="E600" s="165"/>
      <c r="F600" s="75"/>
      <c r="G600" s="166"/>
    </row>
    <row r="601" spans="1:7" ht="23.25" customHeight="1">
      <c r="A601" s="155"/>
      <c r="B601" s="156"/>
      <c r="C601" s="156"/>
      <c r="D601" s="159"/>
      <c r="E601" s="165"/>
      <c r="F601" s="75"/>
      <c r="G601" s="166"/>
    </row>
    <row r="602" spans="1:7" ht="23.25" customHeight="1">
      <c r="A602" s="155"/>
      <c r="B602" s="156"/>
      <c r="C602" s="156"/>
      <c r="D602" s="159"/>
      <c r="E602" s="165"/>
      <c r="F602" s="75"/>
      <c r="G602" s="246"/>
    </row>
    <row r="603" spans="1:7" ht="23.25" customHeight="1" thickBot="1">
      <c r="A603" s="224"/>
      <c r="B603" s="225"/>
      <c r="C603" s="225"/>
      <c r="D603" s="226"/>
      <c r="E603" s="227"/>
      <c r="F603" s="171">
        <f>SUM(F543:F602)</f>
        <v>25323732.580000002</v>
      </c>
      <c r="G603" s="172">
        <f>SUM(G543:G602)</f>
        <v>25323732.579999994</v>
      </c>
    </row>
    <row r="604" ht="23.25" customHeight="1" thickTop="1"/>
    <row r="608" spans="1:6" ht="23.25" customHeight="1">
      <c r="A608" s="174" t="s">
        <v>0</v>
      </c>
      <c r="D608" s="175" t="s">
        <v>184</v>
      </c>
      <c r="F608" s="174" t="s">
        <v>181</v>
      </c>
    </row>
    <row r="609" spans="1:6" ht="23.25" customHeight="1">
      <c r="A609" s="174" t="s">
        <v>423</v>
      </c>
      <c r="D609" s="174" t="s">
        <v>185</v>
      </c>
      <c r="F609" s="174" t="s">
        <v>182</v>
      </c>
    </row>
    <row r="610" spans="1:6" ht="23.25" customHeight="1">
      <c r="A610" s="174" t="s">
        <v>424</v>
      </c>
      <c r="D610" s="174" t="s">
        <v>186</v>
      </c>
      <c r="F610" s="174" t="s">
        <v>183</v>
      </c>
    </row>
    <row r="611" ht="23.25" customHeight="1">
      <c r="A611" s="174" t="s">
        <v>1</v>
      </c>
    </row>
    <row r="623" spans="1:7" ht="23.25" customHeight="1">
      <c r="A623" s="335" t="s">
        <v>13</v>
      </c>
      <c r="B623" s="335"/>
      <c r="C623" s="335"/>
      <c r="D623" s="335"/>
      <c r="E623" s="335"/>
      <c r="F623" s="335"/>
      <c r="G623" s="335"/>
    </row>
    <row r="624" spans="1:7" ht="23.25" customHeight="1">
      <c r="A624" s="336" t="s">
        <v>115</v>
      </c>
      <c r="B624" s="336"/>
      <c r="C624" s="336"/>
      <c r="D624" s="336"/>
      <c r="E624" s="336"/>
      <c r="F624" s="336"/>
      <c r="G624" s="336"/>
    </row>
    <row r="625" spans="1:7" ht="23.25" customHeight="1">
      <c r="A625" s="147"/>
      <c r="B625" s="147"/>
      <c r="C625" s="147"/>
      <c r="D625" s="337" t="s">
        <v>267</v>
      </c>
      <c r="E625" s="337"/>
      <c r="F625" s="337"/>
      <c r="G625" s="147"/>
    </row>
    <row r="626" spans="1:7" ht="23.25" customHeight="1" thickBot="1">
      <c r="A626" s="336" t="s">
        <v>448</v>
      </c>
      <c r="B626" s="336"/>
      <c r="C626" s="336"/>
      <c r="D626" s="336"/>
      <c r="E626" s="336"/>
      <c r="F626" s="336"/>
      <c r="G626" s="336"/>
    </row>
    <row r="627" spans="1:7" ht="23.25" customHeight="1" thickBot="1">
      <c r="A627" s="338" t="s">
        <v>29</v>
      </c>
      <c r="B627" s="339"/>
      <c r="C627" s="339"/>
      <c r="D627" s="339"/>
      <c r="E627" s="148" t="s">
        <v>30</v>
      </c>
      <c r="F627" s="148" t="s">
        <v>31</v>
      </c>
      <c r="G627" s="149" t="s">
        <v>32</v>
      </c>
    </row>
    <row r="628" spans="1:7" ht="21.75" customHeight="1">
      <c r="A628" s="150" t="s">
        <v>108</v>
      </c>
      <c r="B628" s="151"/>
      <c r="C628" s="151"/>
      <c r="D628" s="152"/>
      <c r="E628" s="153">
        <v>1101000</v>
      </c>
      <c r="F628" s="102">
        <f>12215.5-11864.75+4197-4323.5+5504.75-5631+590.5-576</f>
        <v>112.5</v>
      </c>
      <c r="G628" s="154"/>
    </row>
    <row r="629" spans="1:7" ht="21.75" customHeight="1">
      <c r="A629" s="155" t="s">
        <v>133</v>
      </c>
      <c r="B629" s="156"/>
      <c r="C629" s="156"/>
      <c r="D629" s="157"/>
      <c r="E629" s="153">
        <v>1102001</v>
      </c>
      <c r="F629" s="75">
        <f>F544+1965434.07+2139871.7-2047979.22+29897.85</f>
        <v>12282526.7</v>
      </c>
      <c r="G629" s="158"/>
    </row>
    <row r="630" spans="1:7" ht="21.75" customHeight="1">
      <c r="A630" s="155" t="s">
        <v>11</v>
      </c>
      <c r="B630" s="156"/>
      <c r="C630" s="156"/>
      <c r="D630" s="159"/>
      <c r="E630" s="153">
        <v>11012001</v>
      </c>
      <c r="F630" s="75">
        <f>167913.88+430.42+100000+220000-300000+30000+100000-100000+10439.92-100000+100000+468.43+100000</f>
        <v>329252.65</v>
      </c>
      <c r="G630" s="158"/>
    </row>
    <row r="631" spans="1:7" ht="21.75" customHeight="1">
      <c r="A631" s="155" t="s">
        <v>82</v>
      </c>
      <c r="B631" s="156"/>
      <c r="C631" s="156"/>
      <c r="D631" s="159"/>
      <c r="E631" s="153">
        <v>11020001</v>
      </c>
      <c r="F631" s="103">
        <f>2035.38+5.07+4.31+4.07</f>
        <v>2048.83</v>
      </c>
      <c r="G631" s="158"/>
    </row>
    <row r="632" spans="1:7" ht="21.75" customHeight="1">
      <c r="A632" s="155" t="s">
        <v>134</v>
      </c>
      <c r="B632" s="156"/>
      <c r="C632" s="156"/>
      <c r="D632" s="159"/>
      <c r="E632" s="153">
        <v>11012003</v>
      </c>
      <c r="F632" s="103">
        <v>0</v>
      </c>
      <c r="G632" s="158"/>
    </row>
    <row r="633" spans="1:7" ht="21.75" customHeight="1">
      <c r="A633" s="155" t="s">
        <v>18</v>
      </c>
      <c r="B633" s="156"/>
      <c r="C633" s="156"/>
      <c r="D633" s="159"/>
      <c r="E633" s="153">
        <v>21010000</v>
      </c>
      <c r="F633" s="160"/>
      <c r="G633" s="158">
        <f>794903-392500-17238.5-382500</f>
        <v>2664.5</v>
      </c>
    </row>
    <row r="634" spans="1:7" ht="21.75" customHeight="1">
      <c r="A634" s="155" t="s">
        <v>232</v>
      </c>
      <c r="B634" s="156"/>
      <c r="C634" s="156"/>
      <c r="D634" s="159"/>
      <c r="E634" s="153">
        <v>21040001</v>
      </c>
      <c r="F634" s="160"/>
      <c r="G634" s="158">
        <f>4612.69-4612.69+3671.78</f>
        <v>3671.78</v>
      </c>
    </row>
    <row r="635" spans="1:7" ht="21.75" customHeight="1">
      <c r="A635" s="155" t="s">
        <v>252</v>
      </c>
      <c r="B635" s="156"/>
      <c r="C635" s="156"/>
      <c r="D635" s="159"/>
      <c r="E635" s="153">
        <v>21040004</v>
      </c>
      <c r="F635" s="160"/>
      <c r="G635" s="158">
        <f>2299.34+3348.07</f>
        <v>5647.41</v>
      </c>
    </row>
    <row r="636" spans="1:7" ht="21.75" customHeight="1">
      <c r="A636" s="155" t="s">
        <v>253</v>
      </c>
      <c r="B636" s="156"/>
      <c r="C636" s="156"/>
      <c r="D636" s="159"/>
      <c r="E636" s="153">
        <v>21040005</v>
      </c>
      <c r="F636" s="160"/>
      <c r="G636" s="158">
        <f>2400.02+119.38+139.39</f>
        <v>2658.79</v>
      </c>
    </row>
    <row r="637" spans="1:7" ht="21.75" customHeight="1">
      <c r="A637" s="155" t="s">
        <v>254</v>
      </c>
      <c r="B637" s="156"/>
      <c r="C637" s="156"/>
      <c r="D637" s="159"/>
      <c r="E637" s="153">
        <v>21040014</v>
      </c>
      <c r="F637" s="160"/>
      <c r="G637" s="158">
        <v>178643.25</v>
      </c>
    </row>
    <row r="638" spans="1:7" ht="21.75" customHeight="1">
      <c r="A638" s="155" t="s">
        <v>255</v>
      </c>
      <c r="B638" s="156"/>
      <c r="C638" s="156"/>
      <c r="D638" s="159"/>
      <c r="E638" s="153">
        <v>21040099</v>
      </c>
      <c r="F638" s="160"/>
      <c r="G638" s="158">
        <v>225</v>
      </c>
    </row>
    <row r="639" spans="1:7" ht="21.75" customHeight="1">
      <c r="A639" s="155" t="s">
        <v>256</v>
      </c>
      <c r="B639" s="156"/>
      <c r="C639" s="156"/>
      <c r="D639" s="159"/>
      <c r="E639" s="153">
        <v>21040008</v>
      </c>
      <c r="F639" s="160"/>
      <c r="G639" s="158">
        <f>55725+335265+24450+13875+8450-9450+11600+19625-72845</f>
        <v>386695</v>
      </c>
    </row>
    <row r="640" spans="1:7" ht="21.75" customHeight="1">
      <c r="A640" s="155" t="s">
        <v>257</v>
      </c>
      <c r="B640" s="156"/>
      <c r="C640" s="156"/>
      <c r="D640" s="159"/>
      <c r="E640" s="153">
        <v>21040099</v>
      </c>
      <c r="F640" s="160"/>
      <c r="G640" s="158">
        <f>228784.22+468.43+100000</f>
        <v>329252.65</v>
      </c>
    </row>
    <row r="641" spans="1:7" ht="21.75" customHeight="1">
      <c r="A641" s="155" t="s">
        <v>258</v>
      </c>
      <c r="B641" s="156"/>
      <c r="C641" s="156"/>
      <c r="D641" s="159"/>
      <c r="E641" s="153">
        <v>21040099</v>
      </c>
      <c r="F641" s="160"/>
      <c r="G641" s="158">
        <f>110.69+4.07</f>
        <v>114.75999999999999</v>
      </c>
    </row>
    <row r="642" spans="1:7" ht="21.75" customHeight="1">
      <c r="A642" s="155" t="s">
        <v>422</v>
      </c>
      <c r="B642" s="156"/>
      <c r="C642" s="156"/>
      <c r="D642" s="159"/>
      <c r="E642" s="153">
        <v>21040099</v>
      </c>
      <c r="F642" s="160"/>
      <c r="G642" s="158">
        <v>50000</v>
      </c>
    </row>
    <row r="643" spans="1:7" ht="21.75" customHeight="1">
      <c r="A643" s="155" t="s">
        <v>38</v>
      </c>
      <c r="B643" s="156"/>
      <c r="C643" s="156"/>
      <c r="D643" s="164"/>
      <c r="E643" s="153">
        <v>31000000</v>
      </c>
      <c r="F643" s="158"/>
      <c r="G643" s="163">
        <v>2788709</v>
      </c>
    </row>
    <row r="644" spans="1:7" ht="21.75" customHeight="1">
      <c r="A644" s="155" t="s">
        <v>76</v>
      </c>
      <c r="B644" s="156"/>
      <c r="C644" s="156"/>
      <c r="D644" s="159"/>
      <c r="E644" s="153">
        <v>32000000</v>
      </c>
      <c r="F644" s="158"/>
      <c r="G644" s="163">
        <v>6149240.45</v>
      </c>
    </row>
    <row r="645" spans="1:10" ht="21.75" customHeight="1">
      <c r="A645" s="155" t="s">
        <v>172</v>
      </c>
      <c r="B645" s="156"/>
      <c r="C645" s="156"/>
      <c r="D645" s="159"/>
      <c r="E645" s="153">
        <v>41100001</v>
      </c>
      <c r="F645" s="158"/>
      <c r="G645" s="163">
        <f>1275.5+21070.25+705+4520.25</f>
        <v>27571</v>
      </c>
      <c r="I645" s="282"/>
      <c r="J645" s="173"/>
    </row>
    <row r="646" spans="1:10" ht="21.75" customHeight="1">
      <c r="A646" s="155" t="s">
        <v>19</v>
      </c>
      <c r="B646" s="156"/>
      <c r="C646" s="156"/>
      <c r="D646" s="159"/>
      <c r="E646" s="153">
        <v>41100002</v>
      </c>
      <c r="F646" s="158"/>
      <c r="G646" s="163">
        <f>39439.1+2180.11</f>
        <v>41619.21</v>
      </c>
      <c r="I646" s="282"/>
      <c r="J646" s="173"/>
    </row>
    <row r="647" spans="1:10" ht="21.75" customHeight="1">
      <c r="A647" s="155" t="s">
        <v>177</v>
      </c>
      <c r="B647" s="156"/>
      <c r="C647" s="156"/>
      <c r="D647" s="159"/>
      <c r="E647" s="153">
        <v>41100003</v>
      </c>
      <c r="F647" s="158"/>
      <c r="G647" s="163">
        <v>2000</v>
      </c>
      <c r="I647" s="282"/>
      <c r="J647" s="173"/>
    </row>
    <row r="648" spans="1:10" ht="21.75" customHeight="1">
      <c r="A648" s="155" t="s">
        <v>198</v>
      </c>
      <c r="B648" s="156"/>
      <c r="C648" s="156"/>
      <c r="D648" s="159"/>
      <c r="E648" s="153">
        <v>41230003</v>
      </c>
      <c r="F648" s="158"/>
      <c r="G648" s="163">
        <v>500</v>
      </c>
      <c r="I648" s="282"/>
      <c r="J648" s="173"/>
    </row>
    <row r="649" spans="1:10" ht="21.75" customHeight="1">
      <c r="A649" s="155" t="s">
        <v>227</v>
      </c>
      <c r="B649" s="156"/>
      <c r="C649" s="156"/>
      <c r="D649" s="159"/>
      <c r="E649" s="153">
        <v>41210004</v>
      </c>
      <c r="F649" s="158"/>
      <c r="G649" s="163">
        <f>19.4+77.6+659.6+77.6</f>
        <v>834.2</v>
      </c>
      <c r="I649" s="282"/>
      <c r="J649" s="173"/>
    </row>
    <row r="650" spans="1:10" ht="21.75" customHeight="1">
      <c r="A650" s="155" t="s">
        <v>23</v>
      </c>
      <c r="B650" s="156"/>
      <c r="C650" s="156"/>
      <c r="D650" s="159"/>
      <c r="E650" s="153">
        <v>41210007</v>
      </c>
      <c r="F650" s="158"/>
      <c r="G650" s="163">
        <f>2271+2770</f>
        <v>5041</v>
      </c>
      <c r="I650" s="282"/>
      <c r="J650" s="173"/>
    </row>
    <row r="651" spans="1:10" ht="21.75" customHeight="1">
      <c r="A651" s="155" t="s">
        <v>385</v>
      </c>
      <c r="B651" s="156"/>
      <c r="C651" s="156"/>
      <c r="D651" s="159"/>
      <c r="E651" s="153">
        <v>41210029</v>
      </c>
      <c r="F651" s="158"/>
      <c r="G651" s="163">
        <f>50+100+50</f>
        <v>200</v>
      </c>
      <c r="I651" s="282"/>
      <c r="J651" s="173"/>
    </row>
    <row r="652" spans="1:10" ht="21.75" customHeight="1">
      <c r="A652" s="155" t="s">
        <v>188</v>
      </c>
      <c r="B652" s="156"/>
      <c r="C652" s="156"/>
      <c r="D652" s="159"/>
      <c r="E652" s="153">
        <v>41220010</v>
      </c>
      <c r="F652" s="158"/>
      <c r="G652" s="163">
        <f>1000+5900</f>
        <v>6900</v>
      </c>
      <c r="I652" s="282"/>
      <c r="J652" s="173"/>
    </row>
    <row r="653" spans="1:10" ht="21.75" customHeight="1">
      <c r="A653" s="155" t="s">
        <v>247</v>
      </c>
      <c r="B653" s="156"/>
      <c r="C653" s="156"/>
      <c r="D653" s="159"/>
      <c r="E653" s="153">
        <v>41230003</v>
      </c>
      <c r="F653" s="247"/>
      <c r="G653" s="163">
        <f>1975</f>
        <v>1975</v>
      </c>
      <c r="I653" s="282"/>
      <c r="J653" s="173"/>
    </row>
    <row r="654" spans="1:10" ht="21.75" customHeight="1">
      <c r="A654" s="155" t="s">
        <v>174</v>
      </c>
      <c r="B654" s="156"/>
      <c r="C654" s="156"/>
      <c r="D654" s="159"/>
      <c r="E654" s="153">
        <v>41300003</v>
      </c>
      <c r="F654" s="247"/>
      <c r="G654" s="163">
        <v>23672.04</v>
      </c>
      <c r="I654" s="282"/>
      <c r="J654" s="173"/>
    </row>
    <row r="655" spans="1:10" ht="21.75" customHeight="1">
      <c r="A655" s="155" t="s">
        <v>27</v>
      </c>
      <c r="B655" s="156"/>
      <c r="C655" s="156"/>
      <c r="D655" s="164"/>
      <c r="E655" s="165">
        <v>41500004</v>
      </c>
      <c r="F655" s="248"/>
      <c r="G655" s="75">
        <v>5200</v>
      </c>
      <c r="I655" s="282"/>
      <c r="J655" s="173"/>
    </row>
    <row r="656" spans="1:10" ht="21.75" customHeight="1">
      <c r="A656" s="155" t="s">
        <v>43</v>
      </c>
      <c r="B656" s="156"/>
      <c r="C656" s="156"/>
      <c r="D656" s="159"/>
      <c r="E656" s="161" t="s">
        <v>299</v>
      </c>
      <c r="F656" s="103"/>
      <c r="G656" s="75">
        <f>8169.4+100</f>
        <v>8269.4</v>
      </c>
      <c r="I656" s="282"/>
      <c r="J656" s="173"/>
    </row>
    <row r="657" spans="1:10" ht="21.75" customHeight="1">
      <c r="A657" s="155" t="s">
        <v>413</v>
      </c>
      <c r="B657" s="156"/>
      <c r="C657" s="156"/>
      <c r="D657" s="159"/>
      <c r="E657" s="161" t="s">
        <v>305</v>
      </c>
      <c r="F657" s="103"/>
      <c r="G657" s="75">
        <f>96742.29+111256.8</f>
        <v>207999.09</v>
      </c>
      <c r="I657" s="282"/>
      <c r="J657" s="173"/>
    </row>
    <row r="658" spans="1:10" ht="21.75" customHeight="1">
      <c r="A658" s="155" t="s">
        <v>248</v>
      </c>
      <c r="B658" s="156"/>
      <c r="C658" s="156"/>
      <c r="D658" s="159"/>
      <c r="E658" s="165">
        <v>42100002</v>
      </c>
      <c r="F658" s="75"/>
      <c r="G658" s="75">
        <f>1479825.59+732974.31+746545.91+1461389.9+1520999.52</f>
        <v>5941735.23</v>
      </c>
      <c r="I658" s="282"/>
      <c r="J658" s="173"/>
    </row>
    <row r="659" spans="1:10" ht="21.75" customHeight="1">
      <c r="A659" s="155" t="s">
        <v>249</v>
      </c>
      <c r="B659" s="156"/>
      <c r="C659" s="156"/>
      <c r="D659" s="159"/>
      <c r="E659" s="165">
        <v>42100004</v>
      </c>
      <c r="F659" s="75"/>
      <c r="G659" s="166">
        <f>913045.91+79858.83</f>
        <v>992904.74</v>
      </c>
      <c r="I659" s="282"/>
      <c r="J659" s="173"/>
    </row>
    <row r="660" spans="1:10" ht="21.75" customHeight="1">
      <c r="A660" s="155" t="s">
        <v>24</v>
      </c>
      <c r="B660" s="156"/>
      <c r="C660" s="156"/>
      <c r="D660" s="159"/>
      <c r="E660" s="165">
        <v>42100005</v>
      </c>
      <c r="F660" s="75"/>
      <c r="G660" s="166">
        <f>40294.79+7218.78</f>
        <v>47513.57</v>
      </c>
      <c r="I660" s="282"/>
      <c r="J660" s="173"/>
    </row>
    <row r="661" spans="1:10" ht="21.75" customHeight="1">
      <c r="A661" s="155" t="s">
        <v>20</v>
      </c>
      <c r="B661" s="156"/>
      <c r="C661" s="156"/>
      <c r="D661" s="159"/>
      <c r="E661" s="165">
        <v>42100006</v>
      </c>
      <c r="F661" s="75"/>
      <c r="G661" s="166">
        <f>427291.29+60111.76</f>
        <v>487403.05</v>
      </c>
      <c r="I661" s="282"/>
      <c r="J661" s="173"/>
    </row>
    <row r="662" spans="1:10" ht="21.75" customHeight="1">
      <c r="A662" s="155" t="s">
        <v>21</v>
      </c>
      <c r="B662" s="156"/>
      <c r="C662" s="156"/>
      <c r="D662" s="159"/>
      <c r="E662" s="165">
        <v>42100007</v>
      </c>
      <c r="F662" s="75"/>
      <c r="G662" s="166">
        <f>1012743.89+148930.61</f>
        <v>1161674.5</v>
      </c>
      <c r="I662" s="282"/>
      <c r="J662" s="173"/>
    </row>
    <row r="663" spans="1:10" ht="21.75" customHeight="1">
      <c r="A663" s="155" t="s">
        <v>409</v>
      </c>
      <c r="B663" s="156"/>
      <c r="C663" s="156"/>
      <c r="D663" s="159"/>
      <c r="E663" s="165">
        <v>42100012</v>
      </c>
      <c r="F663" s="75"/>
      <c r="G663" s="166">
        <f>11022.62+12632.77</f>
        <v>23655.39</v>
      </c>
      <c r="I663" s="282"/>
      <c r="J663" s="173"/>
    </row>
    <row r="664" spans="1:10" ht="21.75" customHeight="1">
      <c r="A664" s="155" t="s">
        <v>22</v>
      </c>
      <c r="B664" s="156"/>
      <c r="C664" s="156"/>
      <c r="D664" s="159"/>
      <c r="E664" s="165">
        <v>42100013</v>
      </c>
      <c r="F664" s="75"/>
      <c r="G664" s="166">
        <f>5473.67+5110.41+5935</f>
        <v>16519.08</v>
      </c>
      <c r="I664" s="282"/>
      <c r="J664" s="173"/>
    </row>
    <row r="665" spans="1:10" ht="21.75" customHeight="1">
      <c r="A665" s="155" t="s">
        <v>250</v>
      </c>
      <c r="B665" s="156"/>
      <c r="C665" s="156"/>
      <c r="D665" s="159"/>
      <c r="E665" s="165">
        <v>42100015</v>
      </c>
      <c r="F665" s="75"/>
      <c r="G665" s="166">
        <f>182494+18490</f>
        <v>200984</v>
      </c>
      <c r="I665" s="282"/>
      <c r="J665" s="173"/>
    </row>
    <row r="666" spans="1:10" ht="21.75" customHeight="1">
      <c r="A666" s="155" t="s">
        <v>251</v>
      </c>
      <c r="B666" s="156"/>
      <c r="C666" s="156"/>
      <c r="D666" s="159"/>
      <c r="E666" s="165">
        <v>43100002</v>
      </c>
      <c r="F666" s="75"/>
      <c r="G666" s="166">
        <v>8243000</v>
      </c>
      <c r="I666" s="282"/>
      <c r="J666" s="173"/>
    </row>
    <row r="667" spans="1:10" ht="23.25" customHeight="1">
      <c r="A667" s="156"/>
      <c r="B667" s="156"/>
      <c r="C667" s="156"/>
      <c r="D667" s="156"/>
      <c r="E667" s="218"/>
      <c r="F667" s="219"/>
      <c r="G667" s="220"/>
      <c r="I667" s="282"/>
      <c r="J667" s="173"/>
    </row>
    <row r="668" spans="1:7" ht="23.25" customHeight="1" thickBot="1">
      <c r="A668" s="156"/>
      <c r="B668" s="156"/>
      <c r="C668" s="156"/>
      <c r="D668" s="156"/>
      <c r="E668" s="218">
        <v>-2</v>
      </c>
      <c r="F668" s="219"/>
      <c r="G668" s="220"/>
    </row>
    <row r="669" spans="1:7" ht="23.25" customHeight="1" thickBot="1">
      <c r="A669" s="340" t="s">
        <v>29</v>
      </c>
      <c r="B669" s="341"/>
      <c r="C669" s="341"/>
      <c r="D669" s="342"/>
      <c r="E669" s="223" t="s">
        <v>30</v>
      </c>
      <c r="F669" s="148" t="s">
        <v>31</v>
      </c>
      <c r="G669" s="244" t="s">
        <v>32</v>
      </c>
    </row>
    <row r="670" spans="1:7" ht="23.25" customHeight="1">
      <c r="A670" s="155" t="s">
        <v>45</v>
      </c>
      <c r="B670" s="156"/>
      <c r="C670" s="156"/>
      <c r="D670" s="159"/>
      <c r="E670" s="161" t="s">
        <v>244</v>
      </c>
      <c r="F670" s="160">
        <f>1052281+571928+425400-65645-1000+167283+422000+422200+18483+18483+422200+422400-700+97883+419700+20253</f>
        <v>4413149</v>
      </c>
      <c r="G670" s="245"/>
    </row>
    <row r="671" spans="1:7" ht="23.25" customHeight="1">
      <c r="A671" s="155" t="s">
        <v>135</v>
      </c>
      <c r="B671" s="156"/>
      <c r="C671" s="156"/>
      <c r="D671" s="159"/>
      <c r="E671" s="162" t="s">
        <v>245</v>
      </c>
      <c r="F671" s="160">
        <f>1449420+207060</f>
        <v>1656480</v>
      </c>
      <c r="G671" s="68"/>
    </row>
    <row r="672" spans="1:7" ht="23.25" customHeight="1">
      <c r="A672" s="155" t="s">
        <v>107</v>
      </c>
      <c r="B672" s="156"/>
      <c r="C672" s="156"/>
      <c r="D672" s="159"/>
      <c r="E672" s="162" t="s">
        <v>136</v>
      </c>
      <c r="F672" s="160">
        <f>340780+340780+340780+341490+341040+341040+327204+317400</f>
        <v>2690514</v>
      </c>
      <c r="G672" s="68"/>
    </row>
    <row r="673" spans="1:7" ht="23.25" customHeight="1">
      <c r="A673" s="155" t="s">
        <v>93</v>
      </c>
      <c r="B673" s="156"/>
      <c r="C673" s="156"/>
      <c r="D673" s="159"/>
      <c r="E673" s="162" t="s">
        <v>136</v>
      </c>
      <c r="F673" s="160">
        <f>13310+13310+13310+13310+13310+13310+13760+13760</f>
        <v>107380</v>
      </c>
      <c r="G673" s="68"/>
    </row>
    <row r="674" spans="1:7" ht="23.25" customHeight="1">
      <c r="A674" s="155" t="s">
        <v>33</v>
      </c>
      <c r="B674" s="156"/>
      <c r="C674" s="156"/>
      <c r="D674" s="159"/>
      <c r="E674" s="162" t="s">
        <v>136</v>
      </c>
      <c r="F674" s="160">
        <f>147075+137075+148475+148475+148475+148475+148475+159875</f>
        <v>1186400</v>
      </c>
      <c r="G674" s="68"/>
    </row>
    <row r="675" spans="1:7" ht="23.25" customHeight="1">
      <c r="A675" s="155" t="s">
        <v>80</v>
      </c>
      <c r="B675" s="156"/>
      <c r="C675" s="156"/>
      <c r="D675" s="159"/>
      <c r="E675" s="162" t="s">
        <v>137</v>
      </c>
      <c r="F675" s="158">
        <f>22515+20000+9930+13000+20600+8000-4800+18300</f>
        <v>107545</v>
      </c>
      <c r="G675" s="68"/>
    </row>
    <row r="676" spans="1:7" ht="23.25" customHeight="1">
      <c r="A676" s="155" t="s">
        <v>81</v>
      </c>
      <c r="B676" s="156"/>
      <c r="C676" s="156"/>
      <c r="D676" s="159"/>
      <c r="E676" s="162" t="s">
        <v>138</v>
      </c>
      <c r="F676" s="158">
        <f>305709.29-0.9+140000+288958.85+220010+228739.5+532105+322037.36+194944.17</f>
        <v>2232503.27</v>
      </c>
      <c r="G676" s="68"/>
    </row>
    <row r="677" spans="1:7" ht="23.25" customHeight="1">
      <c r="A677" s="70" t="s">
        <v>83</v>
      </c>
      <c r="B677" s="156"/>
      <c r="C677" s="156"/>
      <c r="D677" s="159"/>
      <c r="E677" s="162" t="s">
        <v>246</v>
      </c>
      <c r="F677" s="158">
        <f>90550+90929+65645+221628.39+31381+149257+236143.88+51371</f>
        <v>936905.27</v>
      </c>
      <c r="G677" s="68"/>
    </row>
    <row r="678" spans="1:7" ht="23.25" customHeight="1">
      <c r="A678" s="155" t="s">
        <v>34</v>
      </c>
      <c r="B678" s="156"/>
      <c r="C678" s="156"/>
      <c r="D678" s="159"/>
      <c r="E678" s="104">
        <v>534000</v>
      </c>
      <c r="F678" s="158">
        <f>14521.55+15448.29+22732.73+7784.88+23091.81+244+19380.88</f>
        <v>103204.14</v>
      </c>
      <c r="G678" s="163"/>
    </row>
    <row r="679" spans="1:7" ht="23.25" customHeight="1">
      <c r="A679" s="155" t="s">
        <v>35</v>
      </c>
      <c r="B679" s="156"/>
      <c r="C679" s="156"/>
      <c r="D679" s="159"/>
      <c r="E679" s="153">
        <v>561000</v>
      </c>
      <c r="F679" s="75">
        <f>273000+330522.47+28000+299049.26</f>
        <v>930571.73</v>
      </c>
      <c r="G679" s="166"/>
    </row>
    <row r="680" spans="1:7" ht="23.25" customHeight="1">
      <c r="A680" s="155" t="s">
        <v>406</v>
      </c>
      <c r="B680" s="156"/>
      <c r="C680" s="156"/>
      <c r="D680" s="159"/>
      <c r="E680" s="165">
        <v>541000</v>
      </c>
      <c r="F680" s="75">
        <f>7100+65500+27000+14000+51500</f>
        <v>165100</v>
      </c>
      <c r="G680" s="166"/>
    </row>
    <row r="681" spans="1:7" ht="23.25" customHeight="1">
      <c r="A681" s="155" t="s">
        <v>37</v>
      </c>
      <c r="B681" s="156"/>
      <c r="C681" s="156"/>
      <c r="D681" s="159"/>
      <c r="E681" s="165">
        <v>542000</v>
      </c>
      <c r="F681" s="75">
        <v>201000</v>
      </c>
      <c r="G681" s="166"/>
    </row>
    <row r="682" spans="1:7" ht="23.25" customHeight="1">
      <c r="A682" s="155"/>
      <c r="B682" s="156"/>
      <c r="C682" s="156"/>
      <c r="D682" s="159"/>
      <c r="E682" s="165"/>
      <c r="F682" s="75"/>
      <c r="G682" s="166"/>
    </row>
    <row r="683" spans="1:7" ht="23.25" customHeight="1">
      <c r="A683" s="155"/>
      <c r="B683" s="156"/>
      <c r="C683" s="156"/>
      <c r="D683" s="159"/>
      <c r="E683" s="165"/>
      <c r="F683" s="75"/>
      <c r="G683" s="166"/>
    </row>
    <row r="684" spans="1:7" ht="23.25" customHeight="1">
      <c r="A684" s="155"/>
      <c r="B684" s="156"/>
      <c r="C684" s="156"/>
      <c r="D684" s="159"/>
      <c r="E684" s="165"/>
      <c r="F684" s="75"/>
      <c r="G684" s="166"/>
    </row>
    <row r="685" spans="1:7" ht="23.25" customHeight="1">
      <c r="A685" s="155"/>
      <c r="B685" s="156"/>
      <c r="C685" s="156"/>
      <c r="D685" s="159"/>
      <c r="E685" s="165"/>
      <c r="F685" s="75"/>
      <c r="G685" s="166"/>
    </row>
    <row r="686" spans="1:7" ht="23.25" customHeight="1">
      <c r="A686" s="155"/>
      <c r="B686" s="156"/>
      <c r="C686" s="156"/>
      <c r="D686" s="159"/>
      <c r="E686" s="165"/>
      <c r="F686" s="75"/>
      <c r="G686" s="166"/>
    </row>
    <row r="687" spans="1:7" ht="23.25" customHeight="1">
      <c r="A687" s="155"/>
      <c r="B687" s="156"/>
      <c r="C687" s="156"/>
      <c r="D687" s="159"/>
      <c r="E687" s="165"/>
      <c r="F687" s="75"/>
      <c r="G687" s="246"/>
    </row>
    <row r="688" spans="1:7" ht="23.25" customHeight="1" thickBot="1">
      <c r="A688" s="224"/>
      <c r="B688" s="225"/>
      <c r="C688" s="225"/>
      <c r="D688" s="226"/>
      <c r="E688" s="227"/>
      <c r="F688" s="171">
        <f>SUM(F628:F687)</f>
        <v>27344693.09</v>
      </c>
      <c r="G688" s="172">
        <f>SUM(G628:G687)</f>
        <v>27344693.09</v>
      </c>
    </row>
    <row r="689" ht="23.25" customHeight="1" thickTop="1"/>
    <row r="693" spans="1:6" ht="23.25" customHeight="1">
      <c r="A693" s="174" t="s">
        <v>0</v>
      </c>
      <c r="D693" s="175" t="s">
        <v>184</v>
      </c>
      <c r="F693" s="174" t="s">
        <v>181</v>
      </c>
    </row>
    <row r="694" spans="1:6" ht="23.25" customHeight="1">
      <c r="A694" s="174" t="s">
        <v>423</v>
      </c>
      <c r="D694" s="174" t="s">
        <v>185</v>
      </c>
      <c r="F694" s="174" t="s">
        <v>182</v>
      </c>
    </row>
    <row r="695" spans="1:6" ht="23.25" customHeight="1">
      <c r="A695" s="174" t="s">
        <v>424</v>
      </c>
      <c r="D695" s="174" t="s">
        <v>186</v>
      </c>
      <c r="F695" s="174" t="s">
        <v>183</v>
      </c>
    </row>
    <row r="696" ht="23.25" customHeight="1">
      <c r="A696" s="174" t="s">
        <v>1</v>
      </c>
    </row>
    <row r="709" spans="1:7" ht="23.25" customHeight="1">
      <c r="A709" s="335" t="s">
        <v>13</v>
      </c>
      <c r="B709" s="335"/>
      <c r="C709" s="335"/>
      <c r="D709" s="335"/>
      <c r="E709" s="335"/>
      <c r="F709" s="335"/>
      <c r="G709" s="335"/>
    </row>
    <row r="710" spans="1:7" ht="23.25" customHeight="1">
      <c r="A710" s="336" t="s">
        <v>115</v>
      </c>
      <c r="B710" s="336"/>
      <c r="C710" s="336"/>
      <c r="D710" s="336"/>
      <c r="E710" s="336"/>
      <c r="F710" s="336"/>
      <c r="G710" s="336"/>
    </row>
    <row r="711" spans="1:7" ht="23.25" customHeight="1">
      <c r="A711" s="147"/>
      <c r="B711" s="147"/>
      <c r="C711" s="147"/>
      <c r="D711" s="337" t="s">
        <v>267</v>
      </c>
      <c r="E711" s="337"/>
      <c r="F711" s="337"/>
      <c r="G711" s="147"/>
    </row>
    <row r="712" spans="1:7" ht="23.25" customHeight="1" thickBot="1">
      <c r="A712" s="336" t="s">
        <v>474</v>
      </c>
      <c r="B712" s="336"/>
      <c r="C712" s="336"/>
      <c r="D712" s="336"/>
      <c r="E712" s="336"/>
      <c r="F712" s="336"/>
      <c r="G712" s="336"/>
    </row>
    <row r="713" spans="1:7" ht="23.25" customHeight="1" thickBot="1">
      <c r="A713" s="338" t="s">
        <v>29</v>
      </c>
      <c r="B713" s="339"/>
      <c r="C713" s="339"/>
      <c r="D713" s="339"/>
      <c r="E713" s="148" t="s">
        <v>30</v>
      </c>
      <c r="F713" s="148" t="s">
        <v>31</v>
      </c>
      <c r="G713" s="149" t="s">
        <v>32</v>
      </c>
    </row>
    <row r="714" spans="1:7" ht="23.25" customHeight="1">
      <c r="A714" s="150" t="s">
        <v>108</v>
      </c>
      <c r="B714" s="151"/>
      <c r="C714" s="151"/>
      <c r="D714" s="152"/>
      <c r="E714" s="153">
        <v>1101000</v>
      </c>
      <c r="F714" s="102">
        <f>12215.5-11864.75+4197-4323.5+5504.75-5631+590.5-576+100013.5-100126</f>
        <v>0</v>
      </c>
      <c r="G714" s="154"/>
    </row>
    <row r="715" spans="1:7" ht="23.25" customHeight="1">
      <c r="A715" s="155" t="s">
        <v>133</v>
      </c>
      <c r="B715" s="156"/>
      <c r="C715" s="156"/>
      <c r="D715" s="157"/>
      <c r="E715" s="153">
        <v>1102001</v>
      </c>
      <c r="F715" s="75">
        <f>F629+1311751.58-1611650.84+15055.75+123968.47</f>
        <v>12121651.66</v>
      </c>
      <c r="G715" s="158"/>
    </row>
    <row r="716" spans="1:7" ht="23.25" customHeight="1">
      <c r="A716" s="155" t="s">
        <v>11</v>
      </c>
      <c r="B716" s="156"/>
      <c r="C716" s="156"/>
      <c r="D716" s="159"/>
      <c r="E716" s="153">
        <v>11012001</v>
      </c>
      <c r="F716" s="75">
        <f>167913.88+430.42+100000+220000-300000+30000+100000-100000+10439.92-100000+100000+468.43+100000-500000+320000</f>
        <v>149252.65000000002</v>
      </c>
      <c r="G716" s="158"/>
    </row>
    <row r="717" spans="1:7" ht="23.25" customHeight="1">
      <c r="A717" s="155" t="s">
        <v>82</v>
      </c>
      <c r="B717" s="156"/>
      <c r="C717" s="156"/>
      <c r="D717" s="159"/>
      <c r="E717" s="153">
        <v>11020001</v>
      </c>
      <c r="F717" s="103">
        <f>2035.38+5.07+4.31+4.07</f>
        <v>2048.83</v>
      </c>
      <c r="G717" s="158"/>
    </row>
    <row r="718" spans="1:7" ht="23.25" customHeight="1">
      <c r="A718" s="155" t="s">
        <v>134</v>
      </c>
      <c r="B718" s="156"/>
      <c r="C718" s="156"/>
      <c r="D718" s="159"/>
      <c r="E718" s="153">
        <v>11012003</v>
      </c>
      <c r="F718" s="103">
        <v>0</v>
      </c>
      <c r="G718" s="158"/>
    </row>
    <row r="719" spans="1:7" ht="23.25" customHeight="1">
      <c r="A719" s="155" t="s">
        <v>351</v>
      </c>
      <c r="B719" s="156"/>
      <c r="C719" s="156"/>
      <c r="D719" s="159"/>
      <c r="E719" s="153">
        <v>11045000</v>
      </c>
      <c r="F719" s="103">
        <v>860000</v>
      </c>
      <c r="G719" s="158"/>
    </row>
    <row r="720" spans="1:7" ht="23.25" customHeight="1">
      <c r="A720" s="155" t="s">
        <v>18</v>
      </c>
      <c r="B720" s="156"/>
      <c r="C720" s="156"/>
      <c r="D720" s="159"/>
      <c r="E720" s="153">
        <v>21010000</v>
      </c>
      <c r="F720" s="160"/>
      <c r="G720" s="158">
        <f>794903-392500-17238.5-382500</f>
        <v>2664.5</v>
      </c>
    </row>
    <row r="721" spans="1:7" ht="23.25" customHeight="1">
      <c r="A721" s="155" t="s">
        <v>232</v>
      </c>
      <c r="B721" s="156"/>
      <c r="C721" s="156"/>
      <c r="D721" s="159"/>
      <c r="E721" s="153">
        <v>21040001</v>
      </c>
      <c r="F721" s="160"/>
      <c r="G721" s="158">
        <v>2471.69</v>
      </c>
    </row>
    <row r="722" spans="1:7" ht="23.25" customHeight="1">
      <c r="A722" s="155" t="s">
        <v>252</v>
      </c>
      <c r="B722" s="156"/>
      <c r="C722" s="156"/>
      <c r="D722" s="159"/>
      <c r="E722" s="153">
        <v>21040004</v>
      </c>
      <c r="F722" s="160"/>
      <c r="G722" s="158">
        <v>5647.41</v>
      </c>
    </row>
    <row r="723" spans="1:7" ht="23.25" customHeight="1">
      <c r="A723" s="155" t="s">
        <v>253</v>
      </c>
      <c r="B723" s="156"/>
      <c r="C723" s="156"/>
      <c r="D723" s="159"/>
      <c r="E723" s="153">
        <v>21040005</v>
      </c>
      <c r="F723" s="160"/>
      <c r="G723" s="158">
        <f>2585.56+119.38</f>
        <v>2704.94</v>
      </c>
    </row>
    <row r="724" spans="1:7" ht="23.25" customHeight="1">
      <c r="A724" s="155" t="s">
        <v>254</v>
      </c>
      <c r="B724" s="156"/>
      <c r="C724" s="156"/>
      <c r="D724" s="159"/>
      <c r="E724" s="153">
        <v>21040014</v>
      </c>
      <c r="F724" s="160"/>
      <c r="G724" s="158">
        <v>178643.25</v>
      </c>
    </row>
    <row r="725" spans="1:7" ht="23.25" customHeight="1">
      <c r="A725" s="155" t="s">
        <v>255</v>
      </c>
      <c r="B725" s="156"/>
      <c r="C725" s="156"/>
      <c r="D725" s="159"/>
      <c r="E725" s="153">
        <v>21040099</v>
      </c>
      <c r="F725" s="160"/>
      <c r="G725" s="158">
        <v>225</v>
      </c>
    </row>
    <row r="726" spans="1:7" ht="23.25" customHeight="1">
      <c r="A726" s="155" t="s">
        <v>256</v>
      </c>
      <c r="B726" s="156"/>
      <c r="C726" s="156"/>
      <c r="D726" s="159"/>
      <c r="E726" s="153">
        <v>21040008</v>
      </c>
      <c r="F726" s="160"/>
      <c r="G726" s="158">
        <v>377720</v>
      </c>
    </row>
    <row r="727" spans="1:7" ht="23.25" customHeight="1">
      <c r="A727" s="155" t="s">
        <v>257</v>
      </c>
      <c r="B727" s="156"/>
      <c r="C727" s="156"/>
      <c r="D727" s="159"/>
      <c r="E727" s="153">
        <v>21040016</v>
      </c>
      <c r="F727" s="160"/>
      <c r="G727" s="158">
        <f>228784.22+468.43+100000+300000+380000</f>
        <v>1009252.65</v>
      </c>
    </row>
    <row r="728" spans="1:7" ht="23.25" customHeight="1">
      <c r="A728" s="155" t="s">
        <v>258</v>
      </c>
      <c r="B728" s="156"/>
      <c r="C728" s="156"/>
      <c r="D728" s="159"/>
      <c r="E728" s="153">
        <v>21040099</v>
      </c>
      <c r="F728" s="160"/>
      <c r="G728" s="158">
        <f>110.69+4.07</f>
        <v>114.75999999999999</v>
      </c>
    </row>
    <row r="729" spans="1:7" ht="23.25" customHeight="1">
      <c r="A729" s="155" t="s">
        <v>422</v>
      </c>
      <c r="B729" s="156"/>
      <c r="C729" s="156"/>
      <c r="D729" s="159"/>
      <c r="E729" s="153">
        <v>21040099</v>
      </c>
      <c r="F729" s="160"/>
      <c r="G729" s="158">
        <v>50000</v>
      </c>
    </row>
    <row r="730" spans="1:7" ht="23.25" customHeight="1">
      <c r="A730" s="155" t="s">
        <v>38</v>
      </c>
      <c r="B730" s="156"/>
      <c r="C730" s="156"/>
      <c r="D730" s="164"/>
      <c r="E730" s="153">
        <v>31000000</v>
      </c>
      <c r="F730" s="158"/>
      <c r="G730" s="163">
        <v>2788709</v>
      </c>
    </row>
    <row r="731" spans="1:7" ht="23.25" customHeight="1">
      <c r="A731" s="155" t="s">
        <v>76</v>
      </c>
      <c r="B731" s="156"/>
      <c r="C731" s="156"/>
      <c r="D731" s="159"/>
      <c r="E731" s="153">
        <v>32000000</v>
      </c>
      <c r="F731" s="158"/>
      <c r="G731" s="163">
        <v>6149240.45</v>
      </c>
    </row>
    <row r="732" spans="1:7" ht="23.25" customHeight="1">
      <c r="A732" s="155" t="s">
        <v>172</v>
      </c>
      <c r="B732" s="156"/>
      <c r="C732" s="156"/>
      <c r="D732" s="159"/>
      <c r="E732" s="153">
        <v>41100001</v>
      </c>
      <c r="F732" s="158"/>
      <c r="G732" s="163">
        <f>1275.5+21070.25+705+4520.25</f>
        <v>27571</v>
      </c>
    </row>
    <row r="733" spans="1:7" ht="23.25" customHeight="1">
      <c r="A733" s="155" t="s">
        <v>19</v>
      </c>
      <c r="B733" s="156"/>
      <c r="C733" s="156"/>
      <c r="D733" s="159"/>
      <c r="E733" s="153">
        <v>41100002</v>
      </c>
      <c r="F733" s="158"/>
      <c r="G733" s="163">
        <v>42341.31</v>
      </c>
    </row>
    <row r="734" spans="1:7" ht="23.25" customHeight="1">
      <c r="A734" s="155" t="s">
        <v>177</v>
      </c>
      <c r="B734" s="156"/>
      <c r="C734" s="156"/>
      <c r="D734" s="159"/>
      <c r="E734" s="153">
        <v>41100003</v>
      </c>
      <c r="F734" s="158"/>
      <c r="G734" s="163">
        <v>2000</v>
      </c>
    </row>
    <row r="735" spans="1:7" ht="23.25" customHeight="1">
      <c r="A735" s="155" t="s">
        <v>198</v>
      </c>
      <c r="B735" s="156"/>
      <c r="C735" s="156"/>
      <c r="D735" s="159"/>
      <c r="E735" s="153">
        <v>41230003</v>
      </c>
      <c r="F735" s="158"/>
      <c r="G735" s="163">
        <v>500</v>
      </c>
    </row>
    <row r="736" spans="1:7" ht="23.25" customHeight="1">
      <c r="A736" s="155" t="s">
        <v>227</v>
      </c>
      <c r="B736" s="156"/>
      <c r="C736" s="156"/>
      <c r="D736" s="159"/>
      <c r="E736" s="153">
        <v>41210004</v>
      </c>
      <c r="F736" s="158"/>
      <c r="G736" s="163">
        <f>19.4+77.6+659.6+77.6</f>
        <v>834.2</v>
      </c>
    </row>
    <row r="737" spans="1:7" ht="23.25" customHeight="1">
      <c r="A737" s="155" t="s">
        <v>23</v>
      </c>
      <c r="B737" s="156"/>
      <c r="C737" s="156"/>
      <c r="D737" s="159"/>
      <c r="E737" s="153">
        <v>41210007</v>
      </c>
      <c r="F737" s="158"/>
      <c r="G737" s="163">
        <f>2271+2770</f>
        <v>5041</v>
      </c>
    </row>
    <row r="738" spans="1:7" ht="23.25" customHeight="1">
      <c r="A738" s="155" t="s">
        <v>385</v>
      </c>
      <c r="B738" s="156"/>
      <c r="C738" s="156"/>
      <c r="D738" s="159"/>
      <c r="E738" s="153">
        <v>41210029</v>
      </c>
      <c r="F738" s="158"/>
      <c r="G738" s="163">
        <f>50+100+50</f>
        <v>200</v>
      </c>
    </row>
    <row r="739" spans="1:7" ht="23.25" customHeight="1">
      <c r="A739" s="155" t="s">
        <v>188</v>
      </c>
      <c r="B739" s="156"/>
      <c r="C739" s="156"/>
      <c r="D739" s="159"/>
      <c r="E739" s="153">
        <v>41220010</v>
      </c>
      <c r="F739" s="158"/>
      <c r="G739" s="163">
        <f>1000+5900</f>
        <v>6900</v>
      </c>
    </row>
    <row r="740" spans="1:7" ht="23.25" customHeight="1">
      <c r="A740" s="155" t="s">
        <v>247</v>
      </c>
      <c r="B740" s="156"/>
      <c r="C740" s="156"/>
      <c r="D740" s="159"/>
      <c r="E740" s="153">
        <v>41230003</v>
      </c>
      <c r="F740" s="247"/>
      <c r="G740" s="163">
        <f>1975</f>
        <v>1975</v>
      </c>
    </row>
    <row r="741" spans="1:7" ht="23.25" customHeight="1">
      <c r="A741" s="155" t="s">
        <v>174</v>
      </c>
      <c r="B741" s="156"/>
      <c r="C741" s="156"/>
      <c r="D741" s="159"/>
      <c r="E741" s="153">
        <v>41300003</v>
      </c>
      <c r="F741" s="247"/>
      <c r="G741" s="163">
        <v>23672.04</v>
      </c>
    </row>
    <row r="742" spans="1:7" ht="23.25" customHeight="1">
      <c r="A742" s="155" t="s">
        <v>27</v>
      </c>
      <c r="B742" s="156"/>
      <c r="C742" s="156"/>
      <c r="D742" s="164"/>
      <c r="E742" s="165">
        <v>41500004</v>
      </c>
      <c r="F742" s="248"/>
      <c r="G742" s="75">
        <v>5200</v>
      </c>
    </row>
    <row r="743" spans="1:7" ht="23.25" customHeight="1">
      <c r="A743" s="155" t="s">
        <v>43</v>
      </c>
      <c r="B743" s="156"/>
      <c r="C743" s="156"/>
      <c r="D743" s="159"/>
      <c r="E743" s="161" t="s">
        <v>299</v>
      </c>
      <c r="F743" s="103"/>
      <c r="G743" s="75">
        <f>8169.4+100</f>
        <v>8269.4</v>
      </c>
    </row>
    <row r="744" spans="1:7" ht="23.25" customHeight="1">
      <c r="A744" s="155" t="s">
        <v>413</v>
      </c>
      <c r="B744" s="156"/>
      <c r="C744" s="156"/>
      <c r="D744" s="159"/>
      <c r="E744" s="161" t="s">
        <v>305</v>
      </c>
      <c r="F744" s="103"/>
      <c r="G744" s="75">
        <v>248682.45</v>
      </c>
    </row>
    <row r="745" spans="1:7" ht="23.25" customHeight="1">
      <c r="A745" s="155" t="s">
        <v>248</v>
      </c>
      <c r="B745" s="156"/>
      <c r="C745" s="156"/>
      <c r="D745" s="159"/>
      <c r="E745" s="165">
        <v>42100002</v>
      </c>
      <c r="F745" s="75"/>
      <c r="G745" s="75">
        <v>6733481.32</v>
      </c>
    </row>
    <row r="746" spans="1:7" ht="23.25" customHeight="1">
      <c r="A746" s="155" t="s">
        <v>249</v>
      </c>
      <c r="B746" s="156"/>
      <c r="C746" s="156"/>
      <c r="D746" s="159"/>
      <c r="E746" s="165">
        <v>42100004</v>
      </c>
      <c r="F746" s="75"/>
      <c r="G746" s="166">
        <v>1148929.03</v>
      </c>
    </row>
    <row r="747" spans="1:7" ht="23.25" customHeight="1">
      <c r="A747" s="155" t="s">
        <v>24</v>
      </c>
      <c r="B747" s="156"/>
      <c r="C747" s="156"/>
      <c r="D747" s="159"/>
      <c r="E747" s="165">
        <v>42100005</v>
      </c>
      <c r="F747" s="75"/>
      <c r="G747" s="166">
        <v>52592.5</v>
      </c>
    </row>
    <row r="748" spans="1:7" ht="23.25" customHeight="1">
      <c r="A748" s="155" t="s">
        <v>20</v>
      </c>
      <c r="B748" s="156"/>
      <c r="C748" s="156"/>
      <c r="D748" s="159"/>
      <c r="E748" s="165">
        <v>42100006</v>
      </c>
      <c r="F748" s="75"/>
      <c r="G748" s="166">
        <v>542693.04</v>
      </c>
    </row>
    <row r="749" spans="1:7" ht="23.25" customHeight="1">
      <c r="A749" s="155" t="s">
        <v>21</v>
      </c>
      <c r="B749" s="156"/>
      <c r="C749" s="156"/>
      <c r="D749" s="159"/>
      <c r="E749" s="165">
        <v>42100007</v>
      </c>
      <c r="F749" s="75"/>
      <c r="G749" s="166">
        <v>1310603.42</v>
      </c>
    </row>
    <row r="750" spans="1:7" ht="23.25" customHeight="1">
      <c r="A750" s="156"/>
      <c r="B750" s="156"/>
      <c r="C750" s="156"/>
      <c r="D750" s="156"/>
      <c r="E750" s="218"/>
      <c r="F750" s="219"/>
      <c r="G750" s="220"/>
    </row>
    <row r="751" spans="1:7" ht="23.25" customHeight="1" thickBot="1">
      <c r="A751" s="156"/>
      <c r="B751" s="156"/>
      <c r="C751" s="156"/>
      <c r="D751" s="156"/>
      <c r="E751" s="218">
        <v>-2</v>
      </c>
      <c r="F751" s="219"/>
      <c r="G751" s="220"/>
    </row>
    <row r="752" spans="1:7" ht="23.25" customHeight="1" thickBot="1">
      <c r="A752" s="340" t="s">
        <v>29</v>
      </c>
      <c r="B752" s="341"/>
      <c r="C752" s="341"/>
      <c r="D752" s="342"/>
      <c r="E752" s="223" t="s">
        <v>30</v>
      </c>
      <c r="F752" s="286" t="s">
        <v>31</v>
      </c>
      <c r="G752" s="287" t="s">
        <v>32</v>
      </c>
    </row>
    <row r="753" spans="1:7" ht="23.25" customHeight="1">
      <c r="A753" s="155" t="s">
        <v>409</v>
      </c>
      <c r="B753" s="156"/>
      <c r="C753" s="156"/>
      <c r="D753" s="159"/>
      <c r="E753" s="165">
        <v>42100012</v>
      </c>
      <c r="F753" s="248"/>
      <c r="G753" s="166">
        <v>34593.86</v>
      </c>
    </row>
    <row r="754" spans="1:7" ht="23.25" customHeight="1">
      <c r="A754" s="155" t="s">
        <v>22</v>
      </c>
      <c r="B754" s="156"/>
      <c r="C754" s="156"/>
      <c r="D754" s="159"/>
      <c r="E754" s="165">
        <v>42100013</v>
      </c>
      <c r="F754" s="248"/>
      <c r="G754" s="166">
        <f>5473.67+5110.41+5935</f>
        <v>16519.08</v>
      </c>
    </row>
    <row r="755" spans="1:7" ht="23.25" customHeight="1">
      <c r="A755" s="155" t="s">
        <v>250</v>
      </c>
      <c r="B755" s="156"/>
      <c r="C755" s="156"/>
      <c r="D755" s="159"/>
      <c r="E755" s="165">
        <v>42100015</v>
      </c>
      <c r="F755" s="248"/>
      <c r="G755" s="166">
        <v>314014</v>
      </c>
    </row>
    <row r="756" spans="1:7" ht="23.25" customHeight="1">
      <c r="A756" s="155" t="s">
        <v>251</v>
      </c>
      <c r="B756" s="156"/>
      <c r="C756" s="156"/>
      <c r="D756" s="159"/>
      <c r="E756" s="165">
        <v>43100002</v>
      </c>
      <c r="F756" s="248"/>
      <c r="G756" s="166">
        <v>8357000</v>
      </c>
    </row>
    <row r="757" spans="1:7" ht="23.25" customHeight="1">
      <c r="A757" s="155" t="s">
        <v>45</v>
      </c>
      <c r="B757" s="156"/>
      <c r="C757" s="156"/>
      <c r="D757" s="159"/>
      <c r="E757" s="161" t="s">
        <v>244</v>
      </c>
      <c r="F757" s="288">
        <v>4853602</v>
      </c>
      <c r="G757" s="158"/>
    </row>
    <row r="758" spans="1:7" ht="23.25" customHeight="1">
      <c r="A758" s="155" t="s">
        <v>135</v>
      </c>
      <c r="B758" s="156"/>
      <c r="C758" s="156"/>
      <c r="D758" s="159"/>
      <c r="E758" s="162" t="s">
        <v>245</v>
      </c>
      <c r="F758" s="160">
        <v>1863540</v>
      </c>
      <c r="G758" s="68"/>
    </row>
    <row r="759" spans="1:7" ht="23.25" customHeight="1">
      <c r="A759" s="155" t="s">
        <v>107</v>
      </c>
      <c r="B759" s="156"/>
      <c r="C759" s="156"/>
      <c r="D759" s="159"/>
      <c r="E759" s="162" t="s">
        <v>136</v>
      </c>
      <c r="F759" s="160">
        <f>340780+340780+340780+341490+341040+341040+327204+317400+317400-310</f>
        <v>3007604</v>
      </c>
      <c r="G759" s="68"/>
    </row>
    <row r="760" spans="1:7" ht="23.25" customHeight="1">
      <c r="A760" s="155" t="s">
        <v>93</v>
      </c>
      <c r="B760" s="156"/>
      <c r="C760" s="156"/>
      <c r="D760" s="159"/>
      <c r="E760" s="162" t="s">
        <v>136</v>
      </c>
      <c r="F760" s="160">
        <f>13310+13310+13310+13310+13310+13310+13760+13760+13760</f>
        <v>121140</v>
      </c>
      <c r="G760" s="68"/>
    </row>
    <row r="761" spans="1:7" ht="23.25" customHeight="1">
      <c r="A761" s="155" t="s">
        <v>33</v>
      </c>
      <c r="B761" s="156"/>
      <c r="C761" s="156"/>
      <c r="D761" s="159"/>
      <c r="E761" s="162" t="s">
        <v>136</v>
      </c>
      <c r="F761" s="160">
        <f>147075+137075+148475+148475+148475+148475+148475+159875+159875</f>
        <v>1346275</v>
      </c>
      <c r="G761" s="68"/>
    </row>
    <row r="762" spans="1:7" ht="23.25" customHeight="1">
      <c r="A762" s="155" t="s">
        <v>80</v>
      </c>
      <c r="B762" s="156"/>
      <c r="C762" s="156"/>
      <c r="D762" s="159"/>
      <c r="E762" s="162" t="s">
        <v>137</v>
      </c>
      <c r="F762" s="158">
        <v>118388.5</v>
      </c>
      <c r="G762" s="68"/>
    </row>
    <row r="763" spans="1:7" ht="23.25" customHeight="1">
      <c r="A763" s="155" t="s">
        <v>81</v>
      </c>
      <c r="B763" s="156"/>
      <c r="C763" s="156"/>
      <c r="D763" s="159"/>
      <c r="E763" s="162" t="s">
        <v>138</v>
      </c>
      <c r="F763" s="158">
        <v>2572063.27</v>
      </c>
      <c r="G763" s="68"/>
    </row>
    <row r="764" spans="1:7" ht="23.25" customHeight="1">
      <c r="A764" s="70" t="s">
        <v>83</v>
      </c>
      <c r="B764" s="156"/>
      <c r="C764" s="156"/>
      <c r="D764" s="159"/>
      <c r="E764" s="162" t="s">
        <v>246</v>
      </c>
      <c r="F764" s="158">
        <v>1007645.27</v>
      </c>
      <c r="G764" s="68"/>
    </row>
    <row r="765" spans="1:7" ht="23.25" customHeight="1">
      <c r="A765" s="155" t="s">
        <v>34</v>
      </c>
      <c r="B765" s="156"/>
      <c r="C765" s="156"/>
      <c r="D765" s="159"/>
      <c r="E765" s="104">
        <v>534000</v>
      </c>
      <c r="F765" s="158">
        <v>131123.39</v>
      </c>
      <c r="G765" s="163"/>
    </row>
    <row r="766" spans="1:7" ht="23.25" customHeight="1">
      <c r="A766" s="155" t="s">
        <v>35</v>
      </c>
      <c r="B766" s="156"/>
      <c r="C766" s="156"/>
      <c r="D766" s="159"/>
      <c r="E766" s="153">
        <v>561000</v>
      </c>
      <c r="F766" s="75">
        <f>273000+330522.47+28000+299049.26</f>
        <v>930571.73</v>
      </c>
      <c r="G766" s="166"/>
    </row>
    <row r="767" spans="1:7" ht="23.25" customHeight="1">
      <c r="A767" s="155" t="s">
        <v>406</v>
      </c>
      <c r="B767" s="156"/>
      <c r="C767" s="156"/>
      <c r="D767" s="159"/>
      <c r="E767" s="165">
        <v>541000</v>
      </c>
      <c r="F767" s="75">
        <f>7100+65500+27000+14000+51500</f>
        <v>165100</v>
      </c>
      <c r="G767" s="166"/>
    </row>
    <row r="768" spans="1:7" ht="23.25" customHeight="1">
      <c r="A768" s="155" t="s">
        <v>37</v>
      </c>
      <c r="B768" s="156"/>
      <c r="C768" s="156"/>
      <c r="D768" s="159"/>
      <c r="E768" s="165">
        <v>542000</v>
      </c>
      <c r="F768" s="75">
        <v>201000</v>
      </c>
      <c r="G768" s="166"/>
    </row>
    <row r="769" spans="1:7" ht="23.25" customHeight="1">
      <c r="A769" s="155"/>
      <c r="B769" s="156"/>
      <c r="C769" s="156"/>
      <c r="D769" s="159"/>
      <c r="E769" s="165"/>
      <c r="F769" s="75"/>
      <c r="G769" s="166"/>
    </row>
    <row r="770" spans="1:7" ht="23.25" customHeight="1">
      <c r="A770" s="155"/>
      <c r="B770" s="156"/>
      <c r="C770" s="156"/>
      <c r="D770" s="159"/>
      <c r="E770" s="165"/>
      <c r="F770" s="75"/>
      <c r="G770" s="166"/>
    </row>
    <row r="771" spans="1:7" ht="23.25" customHeight="1">
      <c r="A771" s="155"/>
      <c r="B771" s="156"/>
      <c r="C771" s="156"/>
      <c r="D771" s="159"/>
      <c r="E771" s="165"/>
      <c r="F771" s="75"/>
      <c r="G771" s="166"/>
    </row>
    <row r="772" spans="1:7" ht="23.25" customHeight="1">
      <c r="A772" s="155"/>
      <c r="B772" s="156"/>
      <c r="C772" s="156"/>
      <c r="D772" s="159"/>
      <c r="E772" s="165"/>
      <c r="F772" s="75"/>
      <c r="G772" s="166"/>
    </row>
    <row r="773" spans="1:7" ht="23.25" customHeight="1">
      <c r="A773" s="155"/>
      <c r="B773" s="156"/>
      <c r="C773" s="156"/>
      <c r="D773" s="159"/>
      <c r="E773" s="165"/>
      <c r="F773" s="75"/>
      <c r="G773" s="166"/>
    </row>
    <row r="774" spans="1:7" ht="23.25" customHeight="1">
      <c r="A774" s="155"/>
      <c r="B774" s="156"/>
      <c r="C774" s="156"/>
      <c r="D774" s="159"/>
      <c r="E774" s="165"/>
      <c r="F774" s="75"/>
      <c r="G774" s="246"/>
    </row>
    <row r="775" spans="1:9" ht="23.25" customHeight="1" thickBot="1">
      <c r="A775" s="224"/>
      <c r="B775" s="225"/>
      <c r="C775" s="225"/>
      <c r="D775" s="226"/>
      <c r="E775" s="227"/>
      <c r="F775" s="171">
        <f>SUM(F714:F774)</f>
        <v>29451006.3</v>
      </c>
      <c r="G775" s="172">
        <f>SUM(G714:G774)</f>
        <v>29451006.299999997</v>
      </c>
      <c r="I775" s="173">
        <f>F775-G775</f>
        <v>0</v>
      </c>
    </row>
    <row r="776" ht="23.25" customHeight="1" thickTop="1"/>
    <row r="780" spans="1:6" ht="23.25" customHeight="1">
      <c r="A780" s="174" t="s">
        <v>0</v>
      </c>
      <c r="D780" s="175" t="s">
        <v>184</v>
      </c>
      <c r="F780" s="174" t="s">
        <v>181</v>
      </c>
    </row>
    <row r="781" spans="1:6" ht="23.25" customHeight="1">
      <c r="A781" s="174" t="s">
        <v>423</v>
      </c>
      <c r="D781" s="174" t="s">
        <v>185</v>
      </c>
      <c r="F781" s="174" t="s">
        <v>182</v>
      </c>
    </row>
    <row r="782" spans="1:6" ht="23.25" customHeight="1">
      <c r="A782" s="174" t="s">
        <v>424</v>
      </c>
      <c r="D782" s="174" t="s">
        <v>186</v>
      </c>
      <c r="F782" s="174" t="s">
        <v>183</v>
      </c>
    </row>
    <row r="783" ht="23.25" customHeight="1">
      <c r="A783" s="174" t="s">
        <v>1</v>
      </c>
    </row>
    <row r="794" spans="1:7" ht="23.25" customHeight="1">
      <c r="A794" s="335" t="s">
        <v>13</v>
      </c>
      <c r="B794" s="335"/>
      <c r="C794" s="335"/>
      <c r="D794" s="335"/>
      <c r="E794" s="335"/>
      <c r="F794" s="335"/>
      <c r="G794" s="335"/>
    </row>
    <row r="795" spans="1:7" ht="23.25" customHeight="1">
      <c r="A795" s="336" t="s">
        <v>115</v>
      </c>
      <c r="B795" s="336"/>
      <c r="C795" s="336"/>
      <c r="D795" s="336"/>
      <c r="E795" s="336"/>
      <c r="F795" s="336"/>
      <c r="G795" s="336"/>
    </row>
    <row r="796" spans="1:7" ht="23.25" customHeight="1">
      <c r="A796" s="147"/>
      <c r="B796" s="147"/>
      <c r="C796" s="147"/>
      <c r="D796" s="337" t="s">
        <v>267</v>
      </c>
      <c r="E796" s="337"/>
      <c r="F796" s="337"/>
      <c r="G796" s="147"/>
    </row>
    <row r="797" spans="1:7" ht="23.25" customHeight="1" thickBot="1">
      <c r="A797" s="336" t="s">
        <v>493</v>
      </c>
      <c r="B797" s="336"/>
      <c r="C797" s="336"/>
      <c r="D797" s="336"/>
      <c r="E797" s="336"/>
      <c r="F797" s="336"/>
      <c r="G797" s="336"/>
    </row>
    <row r="798" spans="1:7" ht="23.25" customHeight="1" thickBot="1">
      <c r="A798" s="338" t="s">
        <v>29</v>
      </c>
      <c r="B798" s="339"/>
      <c r="C798" s="339"/>
      <c r="D798" s="339"/>
      <c r="E798" s="148" t="s">
        <v>30</v>
      </c>
      <c r="F798" s="148" t="s">
        <v>31</v>
      </c>
      <c r="G798" s="149" t="s">
        <v>32</v>
      </c>
    </row>
    <row r="799" spans="1:7" ht="23.25" customHeight="1">
      <c r="A799" s="150" t="s">
        <v>108</v>
      </c>
      <c r="B799" s="151"/>
      <c r="C799" s="151"/>
      <c r="D799" s="152"/>
      <c r="E799" s="153">
        <v>1101000</v>
      </c>
      <c r="F799" s="102">
        <f>12215.5-11864.75+4197-4323.5+5504.75-5631+590.5-576+100013.5-100126</f>
        <v>0</v>
      </c>
      <c r="G799" s="154"/>
    </row>
    <row r="800" spans="1:7" ht="23.25" customHeight="1">
      <c r="A800" s="155" t="s">
        <v>133</v>
      </c>
      <c r="B800" s="156"/>
      <c r="C800" s="156"/>
      <c r="D800" s="157"/>
      <c r="E800" s="153">
        <v>1102001</v>
      </c>
      <c r="F800" s="75">
        <f>12146807.7+112031.91</f>
        <v>12258839.61</v>
      </c>
      <c r="G800" s="158"/>
    </row>
    <row r="801" spans="1:7" ht="23.25" customHeight="1">
      <c r="A801" s="155" t="s">
        <v>11</v>
      </c>
      <c r="B801" s="156"/>
      <c r="C801" s="156"/>
      <c r="D801" s="159"/>
      <c r="E801" s="153">
        <v>11012001</v>
      </c>
      <c r="F801" s="75">
        <v>129252.65</v>
      </c>
      <c r="G801" s="158"/>
    </row>
    <row r="802" spans="1:7" ht="23.25" customHeight="1">
      <c r="A802" s="155" t="s">
        <v>82</v>
      </c>
      <c r="B802" s="156"/>
      <c r="C802" s="156"/>
      <c r="D802" s="159"/>
      <c r="E802" s="153">
        <v>11020001</v>
      </c>
      <c r="F802" s="103">
        <f>2035.38+5.07+4.31+4.07</f>
        <v>2048.83</v>
      </c>
      <c r="G802" s="158"/>
    </row>
    <row r="803" spans="1:7" ht="23.25" customHeight="1">
      <c r="A803" s="155" t="s">
        <v>134</v>
      </c>
      <c r="B803" s="156"/>
      <c r="C803" s="156"/>
      <c r="D803" s="159"/>
      <c r="E803" s="153">
        <v>11012003</v>
      </c>
      <c r="F803" s="103">
        <v>0</v>
      </c>
      <c r="G803" s="158"/>
    </row>
    <row r="804" spans="1:7" ht="23.25" customHeight="1">
      <c r="A804" s="155" t="s">
        <v>351</v>
      </c>
      <c r="B804" s="156"/>
      <c r="C804" s="156"/>
      <c r="D804" s="159"/>
      <c r="E804" s="153">
        <v>11045000</v>
      </c>
      <c r="F804" s="103">
        <v>880000</v>
      </c>
      <c r="G804" s="158"/>
    </row>
    <row r="805" spans="1:7" ht="23.25" customHeight="1">
      <c r="A805" s="155" t="s">
        <v>18</v>
      </c>
      <c r="B805" s="156"/>
      <c r="C805" s="156"/>
      <c r="D805" s="159"/>
      <c r="E805" s="153">
        <v>21010000</v>
      </c>
      <c r="F805" s="160"/>
      <c r="G805" s="158">
        <f>794903-392500-17238.5-382500</f>
        <v>2664.5</v>
      </c>
    </row>
    <row r="806" spans="1:7" ht="23.25" customHeight="1">
      <c r="A806" s="155" t="s">
        <v>232</v>
      </c>
      <c r="B806" s="156"/>
      <c r="C806" s="156"/>
      <c r="D806" s="159"/>
      <c r="E806" s="153">
        <v>21040001</v>
      </c>
      <c r="F806" s="160"/>
      <c r="G806" s="158">
        <v>4919.6</v>
      </c>
    </row>
    <row r="807" spans="1:7" ht="23.25" customHeight="1">
      <c r="A807" s="155" t="s">
        <v>252</v>
      </c>
      <c r="B807" s="156"/>
      <c r="C807" s="156"/>
      <c r="D807" s="159"/>
      <c r="E807" s="153">
        <v>21040004</v>
      </c>
      <c r="F807" s="160"/>
      <c r="G807" s="158">
        <v>5647.41</v>
      </c>
    </row>
    <row r="808" spans="1:7" ht="23.25" customHeight="1">
      <c r="A808" s="155" t="s">
        <v>253</v>
      </c>
      <c r="B808" s="156"/>
      <c r="C808" s="156"/>
      <c r="D808" s="159"/>
      <c r="E808" s="153">
        <v>21040005</v>
      </c>
      <c r="F808" s="160"/>
      <c r="G808" s="158">
        <v>2785.57</v>
      </c>
    </row>
    <row r="809" spans="1:7" ht="23.25" customHeight="1">
      <c r="A809" s="155" t="s">
        <v>254</v>
      </c>
      <c r="B809" s="156"/>
      <c r="C809" s="156"/>
      <c r="D809" s="159"/>
      <c r="E809" s="153">
        <v>21040014</v>
      </c>
      <c r="F809" s="160"/>
      <c r="G809" s="158">
        <v>178643.25</v>
      </c>
    </row>
    <row r="810" spans="1:7" ht="23.25" customHeight="1">
      <c r="A810" s="155" t="s">
        <v>255</v>
      </c>
      <c r="B810" s="156"/>
      <c r="C810" s="156"/>
      <c r="D810" s="159"/>
      <c r="E810" s="153">
        <v>21040099</v>
      </c>
      <c r="F810" s="160"/>
      <c r="G810" s="158">
        <v>225</v>
      </c>
    </row>
    <row r="811" spans="1:7" ht="23.25" customHeight="1">
      <c r="A811" s="155" t="s">
        <v>256</v>
      </c>
      <c r="B811" s="156"/>
      <c r="C811" s="156"/>
      <c r="D811" s="159"/>
      <c r="E811" s="153">
        <v>21040008</v>
      </c>
      <c r="F811" s="160"/>
      <c r="G811" s="158">
        <f>353695+19075</f>
        <v>372770</v>
      </c>
    </row>
    <row r="812" spans="1:7" ht="23.25" customHeight="1">
      <c r="A812" s="155" t="s">
        <v>257</v>
      </c>
      <c r="B812" s="156"/>
      <c r="C812" s="156"/>
      <c r="D812" s="159"/>
      <c r="E812" s="153">
        <v>21040016</v>
      </c>
      <c r="F812" s="160"/>
      <c r="G812" s="158">
        <f>228784.22+468.43+100000+300000+380000</f>
        <v>1009252.65</v>
      </c>
    </row>
    <row r="813" spans="1:7" ht="23.25" customHeight="1">
      <c r="A813" s="155" t="s">
        <v>258</v>
      </c>
      <c r="B813" s="156"/>
      <c r="C813" s="156"/>
      <c r="D813" s="159"/>
      <c r="E813" s="153">
        <v>21040099</v>
      </c>
      <c r="F813" s="160"/>
      <c r="G813" s="158">
        <f>110.69+4.07</f>
        <v>114.75999999999999</v>
      </c>
    </row>
    <row r="814" spans="1:7" ht="23.25" customHeight="1">
      <c r="A814" s="155" t="s">
        <v>38</v>
      </c>
      <c r="B814" s="156"/>
      <c r="C814" s="156"/>
      <c r="D814" s="164"/>
      <c r="E814" s="153">
        <v>31000000</v>
      </c>
      <c r="F814" s="158"/>
      <c r="G814" s="163">
        <v>2788709</v>
      </c>
    </row>
    <row r="815" spans="1:7" ht="23.25" customHeight="1">
      <c r="A815" s="155" t="s">
        <v>76</v>
      </c>
      <c r="B815" s="156"/>
      <c r="C815" s="156"/>
      <c r="D815" s="159"/>
      <c r="E815" s="153">
        <v>32000000</v>
      </c>
      <c r="F815" s="158"/>
      <c r="G815" s="163">
        <v>6149240.45</v>
      </c>
    </row>
    <row r="816" spans="1:7" ht="23.25" customHeight="1">
      <c r="A816" s="155" t="s">
        <v>172</v>
      </c>
      <c r="B816" s="156"/>
      <c r="C816" s="156"/>
      <c r="D816" s="159"/>
      <c r="E816" s="153">
        <v>41100001</v>
      </c>
      <c r="F816" s="158"/>
      <c r="G816" s="163">
        <f>1275.5+21070.25+705+4520.25</f>
        <v>27571</v>
      </c>
    </row>
    <row r="817" spans="1:7" ht="23.25" customHeight="1">
      <c r="A817" s="155" t="s">
        <v>19</v>
      </c>
      <c r="B817" s="156"/>
      <c r="C817" s="156"/>
      <c r="D817" s="159"/>
      <c r="E817" s="153">
        <v>41100002</v>
      </c>
      <c r="F817" s="158"/>
      <c r="G817" s="163">
        <v>43603.43</v>
      </c>
    </row>
    <row r="818" spans="1:7" ht="23.25" customHeight="1">
      <c r="A818" s="155" t="s">
        <v>177</v>
      </c>
      <c r="B818" s="156"/>
      <c r="C818" s="156"/>
      <c r="D818" s="159"/>
      <c r="E818" s="153">
        <v>41100003</v>
      </c>
      <c r="F818" s="158"/>
      <c r="G818" s="163">
        <v>2000</v>
      </c>
    </row>
    <row r="819" spans="1:7" ht="23.25" customHeight="1">
      <c r="A819" s="155" t="s">
        <v>198</v>
      </c>
      <c r="B819" s="156"/>
      <c r="C819" s="156"/>
      <c r="D819" s="159"/>
      <c r="E819" s="153">
        <v>41230003</v>
      </c>
      <c r="F819" s="158"/>
      <c r="G819" s="163">
        <v>500</v>
      </c>
    </row>
    <row r="820" spans="1:7" ht="23.25" customHeight="1">
      <c r="A820" s="155" t="s">
        <v>227</v>
      </c>
      <c r="B820" s="156"/>
      <c r="C820" s="156"/>
      <c r="D820" s="159"/>
      <c r="E820" s="153">
        <v>41210004</v>
      </c>
      <c r="F820" s="158"/>
      <c r="G820" s="163">
        <v>853.6</v>
      </c>
    </row>
    <row r="821" spans="1:7" ht="23.25" customHeight="1">
      <c r="A821" s="155" t="s">
        <v>23</v>
      </c>
      <c r="B821" s="156"/>
      <c r="C821" s="156"/>
      <c r="D821" s="159"/>
      <c r="E821" s="153">
        <v>41210007</v>
      </c>
      <c r="F821" s="158"/>
      <c r="G821" s="163">
        <f>2271+2770</f>
        <v>5041</v>
      </c>
    </row>
    <row r="822" spans="1:7" ht="23.25" customHeight="1">
      <c r="A822" s="155" t="s">
        <v>385</v>
      </c>
      <c r="B822" s="156"/>
      <c r="C822" s="156"/>
      <c r="D822" s="159"/>
      <c r="E822" s="153">
        <v>41210029</v>
      </c>
      <c r="F822" s="158"/>
      <c r="G822" s="163">
        <v>250</v>
      </c>
    </row>
    <row r="823" spans="1:7" ht="23.25" customHeight="1">
      <c r="A823" s="155" t="s">
        <v>188</v>
      </c>
      <c r="B823" s="156"/>
      <c r="C823" s="156"/>
      <c r="D823" s="159"/>
      <c r="E823" s="153">
        <v>41220010</v>
      </c>
      <c r="F823" s="158"/>
      <c r="G823" s="163">
        <v>7764</v>
      </c>
    </row>
    <row r="824" spans="1:7" ht="23.25" customHeight="1">
      <c r="A824" s="155" t="s">
        <v>247</v>
      </c>
      <c r="B824" s="156"/>
      <c r="C824" s="156"/>
      <c r="D824" s="159"/>
      <c r="E824" s="153">
        <v>41230003</v>
      </c>
      <c r="F824" s="247"/>
      <c r="G824" s="163">
        <f>1975</f>
        <v>1975</v>
      </c>
    </row>
    <row r="825" spans="1:7" ht="23.25" customHeight="1">
      <c r="A825" s="155" t="s">
        <v>174</v>
      </c>
      <c r="B825" s="156"/>
      <c r="C825" s="156"/>
      <c r="D825" s="159"/>
      <c r="E825" s="153">
        <v>41300003</v>
      </c>
      <c r="F825" s="247"/>
      <c r="G825" s="163">
        <v>23672.04</v>
      </c>
    </row>
    <row r="826" spans="1:7" ht="23.25" customHeight="1">
      <c r="A826" s="155" t="s">
        <v>27</v>
      </c>
      <c r="B826" s="156"/>
      <c r="C826" s="156"/>
      <c r="D826" s="164"/>
      <c r="E826" s="165">
        <v>41500004</v>
      </c>
      <c r="F826" s="248"/>
      <c r="G826" s="75">
        <v>5200</v>
      </c>
    </row>
    <row r="827" spans="1:7" ht="23.25" customHeight="1">
      <c r="A827" s="155" t="s">
        <v>43</v>
      </c>
      <c r="B827" s="156"/>
      <c r="C827" s="156"/>
      <c r="D827" s="159"/>
      <c r="E827" s="161" t="s">
        <v>299</v>
      </c>
      <c r="F827" s="103"/>
      <c r="G827" s="75">
        <f>8169.4+100</f>
        <v>8269.4</v>
      </c>
    </row>
    <row r="828" spans="1:7" ht="23.25" customHeight="1">
      <c r="A828" s="155" t="s">
        <v>413</v>
      </c>
      <c r="B828" s="156"/>
      <c r="C828" s="156"/>
      <c r="D828" s="159"/>
      <c r="E828" s="161" t="s">
        <v>305</v>
      </c>
      <c r="F828" s="103"/>
      <c r="G828" s="75">
        <v>321418.09</v>
      </c>
    </row>
    <row r="829" spans="1:7" ht="23.25" customHeight="1">
      <c r="A829" s="155" t="s">
        <v>248</v>
      </c>
      <c r="B829" s="156"/>
      <c r="C829" s="156"/>
      <c r="D829" s="159"/>
      <c r="E829" s="165">
        <v>42100002</v>
      </c>
      <c r="F829" s="75"/>
      <c r="G829" s="75">
        <v>6733481.32</v>
      </c>
    </row>
    <row r="830" spans="1:7" ht="23.25" customHeight="1">
      <c r="A830" s="155" t="s">
        <v>249</v>
      </c>
      <c r="B830" s="156"/>
      <c r="C830" s="156"/>
      <c r="D830" s="159"/>
      <c r="E830" s="165">
        <v>42100004</v>
      </c>
      <c r="F830" s="75"/>
      <c r="G830" s="166">
        <v>1261191.7</v>
      </c>
    </row>
    <row r="831" spans="1:7" ht="23.25" customHeight="1">
      <c r="A831" s="155" t="s">
        <v>24</v>
      </c>
      <c r="B831" s="156"/>
      <c r="C831" s="156"/>
      <c r="D831" s="159"/>
      <c r="E831" s="165">
        <v>42100005</v>
      </c>
      <c r="F831" s="75"/>
      <c r="G831" s="166">
        <v>59632.84</v>
      </c>
    </row>
    <row r="832" spans="1:7" ht="23.25" customHeight="1">
      <c r="A832" s="155" t="s">
        <v>20</v>
      </c>
      <c r="B832" s="156"/>
      <c r="C832" s="156"/>
      <c r="D832" s="159"/>
      <c r="E832" s="165">
        <v>42100006</v>
      </c>
      <c r="F832" s="75"/>
      <c r="G832" s="166">
        <v>606470.18</v>
      </c>
    </row>
    <row r="833" spans="1:7" ht="23.25" customHeight="1">
      <c r="A833" s="155" t="s">
        <v>21</v>
      </c>
      <c r="B833" s="156"/>
      <c r="C833" s="156"/>
      <c r="D833" s="159"/>
      <c r="E833" s="165">
        <v>42100007</v>
      </c>
      <c r="F833" s="75"/>
      <c r="G833" s="166">
        <v>1477956.03</v>
      </c>
    </row>
    <row r="834" spans="1:7" ht="23.25" customHeight="1">
      <c r="A834" s="156"/>
      <c r="B834" s="156"/>
      <c r="C834" s="156"/>
      <c r="D834" s="156"/>
      <c r="E834" s="218"/>
      <c r="F834" s="219"/>
      <c r="G834" s="220"/>
    </row>
    <row r="835" spans="1:7" ht="23.25" customHeight="1">
      <c r="A835" s="156"/>
      <c r="B835" s="156"/>
      <c r="C835" s="156"/>
      <c r="D835" s="156"/>
      <c r="E835" s="218"/>
      <c r="F835" s="219"/>
      <c r="G835" s="220"/>
    </row>
    <row r="836" spans="1:7" ht="23.25" customHeight="1" thickBot="1">
      <c r="A836" s="156"/>
      <c r="B836" s="156"/>
      <c r="C836" s="156"/>
      <c r="D836" s="156"/>
      <c r="E836" s="218">
        <v>-2</v>
      </c>
      <c r="F836" s="219"/>
      <c r="G836" s="220"/>
    </row>
    <row r="837" spans="1:7" ht="23.25" customHeight="1" thickBot="1">
      <c r="A837" s="340" t="s">
        <v>29</v>
      </c>
      <c r="B837" s="341"/>
      <c r="C837" s="341"/>
      <c r="D837" s="342"/>
      <c r="E837" s="223" t="s">
        <v>30</v>
      </c>
      <c r="F837" s="286" t="s">
        <v>31</v>
      </c>
      <c r="G837" s="287" t="s">
        <v>32</v>
      </c>
    </row>
    <row r="838" spans="1:7" ht="23.25" customHeight="1">
      <c r="A838" s="155" t="s">
        <v>409</v>
      </c>
      <c r="B838" s="156"/>
      <c r="C838" s="156"/>
      <c r="D838" s="159"/>
      <c r="E838" s="165">
        <v>42100012</v>
      </c>
      <c r="F838" s="248"/>
      <c r="G838" s="166">
        <v>34593.86</v>
      </c>
    </row>
    <row r="839" spans="1:7" ht="23.25" customHeight="1">
      <c r="A839" s="155" t="s">
        <v>22</v>
      </c>
      <c r="B839" s="156"/>
      <c r="C839" s="156"/>
      <c r="D839" s="159"/>
      <c r="E839" s="165">
        <v>42100013</v>
      </c>
      <c r="F839" s="248"/>
      <c r="G839" s="166">
        <v>22913.35</v>
      </c>
    </row>
    <row r="840" spans="1:7" ht="23.25" customHeight="1">
      <c r="A840" s="155" t="s">
        <v>250</v>
      </c>
      <c r="B840" s="156"/>
      <c r="C840" s="156"/>
      <c r="D840" s="159"/>
      <c r="E840" s="165">
        <v>42100015</v>
      </c>
      <c r="F840" s="248"/>
      <c r="G840" s="166">
        <v>314014</v>
      </c>
    </row>
    <row r="841" spans="1:7" ht="23.25" customHeight="1">
      <c r="A841" s="155" t="s">
        <v>251</v>
      </c>
      <c r="B841" s="156"/>
      <c r="C841" s="156"/>
      <c r="D841" s="159"/>
      <c r="E841" s="165">
        <v>43100002</v>
      </c>
      <c r="F841" s="248"/>
      <c r="G841" s="166">
        <v>10085025</v>
      </c>
    </row>
    <row r="842" spans="1:7" ht="23.25" customHeight="1">
      <c r="A842" s="155" t="s">
        <v>45</v>
      </c>
      <c r="B842" s="156"/>
      <c r="C842" s="156"/>
      <c r="D842" s="159"/>
      <c r="E842" s="161" t="s">
        <v>244</v>
      </c>
      <c r="F842" s="288">
        <v>5293855</v>
      </c>
      <c r="G842" s="158"/>
    </row>
    <row r="843" spans="1:7" ht="23.25" customHeight="1">
      <c r="A843" s="155" t="s">
        <v>135</v>
      </c>
      <c r="B843" s="156"/>
      <c r="C843" s="156"/>
      <c r="D843" s="159"/>
      <c r="E843" s="162" t="s">
        <v>245</v>
      </c>
      <c r="F843" s="160">
        <v>2070600</v>
      </c>
      <c r="G843" s="68"/>
    </row>
    <row r="844" spans="1:7" ht="23.25" customHeight="1">
      <c r="A844" s="155" t="s">
        <v>107</v>
      </c>
      <c r="B844" s="156"/>
      <c r="C844" s="156"/>
      <c r="D844" s="159"/>
      <c r="E844" s="162" t="s">
        <v>136</v>
      </c>
      <c r="F844" s="160">
        <v>3355074</v>
      </c>
      <c r="G844" s="68"/>
    </row>
    <row r="845" spans="1:7" ht="23.25" customHeight="1">
      <c r="A845" s="155" t="s">
        <v>93</v>
      </c>
      <c r="B845" s="156"/>
      <c r="C845" s="156"/>
      <c r="D845" s="159"/>
      <c r="E845" s="162" t="s">
        <v>136</v>
      </c>
      <c r="F845" s="160">
        <v>134900</v>
      </c>
      <c r="G845" s="68"/>
    </row>
    <row r="846" spans="1:7" ht="23.25" customHeight="1">
      <c r="A846" s="155" t="s">
        <v>33</v>
      </c>
      <c r="B846" s="156"/>
      <c r="C846" s="156"/>
      <c r="D846" s="159"/>
      <c r="E846" s="162" t="s">
        <v>136</v>
      </c>
      <c r="F846" s="160">
        <v>1506150</v>
      </c>
      <c r="G846" s="68"/>
    </row>
    <row r="847" spans="1:7" ht="23.25" customHeight="1">
      <c r="A847" s="155" t="s">
        <v>80</v>
      </c>
      <c r="B847" s="156"/>
      <c r="C847" s="156"/>
      <c r="D847" s="159"/>
      <c r="E847" s="162" t="s">
        <v>137</v>
      </c>
      <c r="F847" s="158">
        <v>129280.5</v>
      </c>
      <c r="G847" s="68"/>
    </row>
    <row r="848" spans="1:7" ht="23.25" customHeight="1">
      <c r="A848" s="155" t="s">
        <v>81</v>
      </c>
      <c r="B848" s="156"/>
      <c r="C848" s="156"/>
      <c r="D848" s="159"/>
      <c r="E848" s="162" t="s">
        <v>138</v>
      </c>
      <c r="F848" s="158">
        <v>2905073.27</v>
      </c>
      <c r="G848" s="68"/>
    </row>
    <row r="849" spans="1:7" ht="23.25" customHeight="1">
      <c r="A849" s="70" t="s">
        <v>83</v>
      </c>
      <c r="B849" s="156"/>
      <c r="C849" s="156"/>
      <c r="D849" s="159"/>
      <c r="E849" s="162" t="s">
        <v>246</v>
      </c>
      <c r="F849" s="158">
        <v>1021615.27</v>
      </c>
      <c r="G849" s="68"/>
    </row>
    <row r="850" spans="1:7" ht="23.25" customHeight="1">
      <c r="A850" s="155" t="s">
        <v>34</v>
      </c>
      <c r="B850" s="156"/>
      <c r="C850" s="156"/>
      <c r="D850" s="159"/>
      <c r="E850" s="104">
        <v>534000</v>
      </c>
      <c r="F850" s="158">
        <v>149507.17</v>
      </c>
      <c r="G850" s="163"/>
    </row>
    <row r="851" spans="1:7" ht="23.25" customHeight="1">
      <c r="A851" s="155" t="s">
        <v>35</v>
      </c>
      <c r="B851" s="156"/>
      <c r="C851" s="156"/>
      <c r="D851" s="159"/>
      <c r="E851" s="153">
        <v>561000</v>
      </c>
      <c r="F851" s="75">
        <v>1162571.73</v>
      </c>
      <c r="G851" s="166"/>
    </row>
    <row r="852" spans="1:7" ht="23.25" customHeight="1">
      <c r="A852" s="155" t="s">
        <v>406</v>
      </c>
      <c r="B852" s="156"/>
      <c r="C852" s="156"/>
      <c r="D852" s="159"/>
      <c r="E852" s="165">
        <v>541000</v>
      </c>
      <c r="F852" s="75">
        <v>165100</v>
      </c>
      <c r="G852" s="166"/>
    </row>
    <row r="853" spans="1:7" ht="23.25" customHeight="1">
      <c r="A853" s="155" t="s">
        <v>37</v>
      </c>
      <c r="B853" s="156"/>
      <c r="C853" s="156"/>
      <c r="D853" s="159"/>
      <c r="E853" s="165">
        <v>542000</v>
      </c>
      <c r="F853" s="75">
        <v>394500</v>
      </c>
      <c r="G853" s="166"/>
    </row>
    <row r="854" spans="1:7" ht="23.25" customHeight="1">
      <c r="A854" s="155"/>
      <c r="B854" s="156"/>
      <c r="C854" s="156"/>
      <c r="D854" s="159"/>
      <c r="E854" s="165"/>
      <c r="F854" s="75"/>
      <c r="G854" s="166"/>
    </row>
    <row r="855" spans="1:7" ht="23.25" customHeight="1">
      <c r="A855" s="155"/>
      <c r="B855" s="156"/>
      <c r="C855" s="156"/>
      <c r="D855" s="159"/>
      <c r="E855" s="165"/>
      <c r="F855" s="75"/>
      <c r="G855" s="166"/>
    </row>
    <row r="856" spans="1:7" ht="23.25" customHeight="1">
      <c r="A856" s="155"/>
      <c r="B856" s="156"/>
      <c r="C856" s="156"/>
      <c r="D856" s="159"/>
      <c r="E856" s="165"/>
      <c r="F856" s="75"/>
      <c r="G856" s="166"/>
    </row>
    <row r="857" spans="1:7" ht="23.25" customHeight="1">
      <c r="A857" s="155"/>
      <c r="B857" s="156"/>
      <c r="C857" s="156"/>
      <c r="D857" s="159"/>
      <c r="E857" s="165"/>
      <c r="F857" s="75"/>
      <c r="G857" s="166"/>
    </row>
    <row r="858" spans="1:7" ht="23.25" customHeight="1">
      <c r="A858" s="155"/>
      <c r="B858" s="156"/>
      <c r="C858" s="156"/>
      <c r="D858" s="159"/>
      <c r="E858" s="165"/>
      <c r="F858" s="75"/>
      <c r="G858" s="166"/>
    </row>
    <row r="859" spans="1:7" ht="23.25" customHeight="1">
      <c r="A859" s="155"/>
      <c r="B859" s="156"/>
      <c r="C859" s="156"/>
      <c r="D859" s="159"/>
      <c r="E859" s="165"/>
      <c r="F859" s="75"/>
      <c r="G859" s="246"/>
    </row>
    <row r="860" spans="1:9" ht="23.25" customHeight="1" thickBot="1">
      <c r="A860" s="224"/>
      <c r="B860" s="225"/>
      <c r="C860" s="225"/>
      <c r="D860" s="226"/>
      <c r="E860" s="227"/>
      <c r="F860" s="171">
        <f>SUM(F799:F859)</f>
        <v>31558368.03</v>
      </c>
      <c r="G860" s="172">
        <f>SUM(G799:G859)</f>
        <v>31558368.03</v>
      </c>
      <c r="I860" s="173">
        <f>F860-G860</f>
        <v>0</v>
      </c>
    </row>
    <row r="861" ht="23.25" customHeight="1" thickTop="1"/>
    <row r="865" spans="1:7" ht="23.25" customHeight="1">
      <c r="A865" s="174" t="s">
        <v>0</v>
      </c>
      <c r="D865" s="175" t="s">
        <v>184</v>
      </c>
      <c r="F865" s="174" t="s">
        <v>181</v>
      </c>
      <c r="G865" s="70"/>
    </row>
    <row r="866" spans="1:7" ht="23.25" customHeight="1">
      <c r="A866" s="174" t="s">
        <v>423</v>
      </c>
      <c r="D866" s="174" t="s">
        <v>185</v>
      </c>
      <c r="F866" s="174" t="s">
        <v>182</v>
      </c>
      <c r="G866" s="70"/>
    </row>
    <row r="867" spans="1:7" ht="23.25" customHeight="1">
      <c r="A867" s="174" t="s">
        <v>424</v>
      </c>
      <c r="D867" s="174" t="s">
        <v>186</v>
      </c>
      <c r="F867" s="174" t="s">
        <v>183</v>
      </c>
      <c r="G867" s="70"/>
    </row>
    <row r="868" spans="1:7" ht="23.25" customHeight="1">
      <c r="A868" s="174" t="s">
        <v>1</v>
      </c>
      <c r="G868" s="70"/>
    </row>
    <row r="877" spans="1:7" ht="23.25" customHeight="1">
      <c r="A877" s="335" t="s">
        <v>13</v>
      </c>
      <c r="B877" s="335"/>
      <c r="C877" s="335"/>
      <c r="D877" s="335"/>
      <c r="E877" s="335"/>
      <c r="F877" s="335"/>
      <c r="G877" s="335"/>
    </row>
    <row r="878" spans="1:7" ht="23.25" customHeight="1">
      <c r="A878" s="336" t="s">
        <v>115</v>
      </c>
      <c r="B878" s="336"/>
      <c r="C878" s="336"/>
      <c r="D878" s="336"/>
      <c r="E878" s="336"/>
      <c r="F878" s="336"/>
      <c r="G878" s="336"/>
    </row>
    <row r="879" spans="1:7" ht="23.25" customHeight="1">
      <c r="A879" s="147"/>
      <c r="B879" s="147"/>
      <c r="C879" s="147"/>
      <c r="D879" s="337" t="s">
        <v>267</v>
      </c>
      <c r="E879" s="337"/>
      <c r="F879" s="337"/>
      <c r="G879" s="147"/>
    </row>
    <row r="880" spans="1:7" ht="23.25" customHeight="1" thickBot="1">
      <c r="A880" s="336" t="s">
        <v>589</v>
      </c>
      <c r="B880" s="336"/>
      <c r="C880" s="336"/>
      <c r="D880" s="336"/>
      <c r="E880" s="336"/>
      <c r="F880" s="336"/>
      <c r="G880" s="336"/>
    </row>
    <row r="881" spans="1:7" ht="23.25" customHeight="1" thickBot="1">
      <c r="A881" s="338" t="s">
        <v>29</v>
      </c>
      <c r="B881" s="339"/>
      <c r="C881" s="339"/>
      <c r="D881" s="339"/>
      <c r="E881" s="148" t="s">
        <v>30</v>
      </c>
      <c r="F881" s="148" t="s">
        <v>31</v>
      </c>
      <c r="G881" s="149" t="s">
        <v>32</v>
      </c>
    </row>
    <row r="882" spans="1:7" ht="23.25" customHeight="1">
      <c r="A882" s="150" t="s">
        <v>108</v>
      </c>
      <c r="B882" s="151"/>
      <c r="C882" s="151"/>
      <c r="D882" s="152"/>
      <c r="E882" s="153">
        <v>1101000</v>
      </c>
      <c r="F882" s="102">
        <f>12215.5-11864.75+4197-4323.5+5504.75-5631+590.5-576+100013.5-100126</f>
        <v>0</v>
      </c>
      <c r="G882" s="154"/>
    </row>
    <row r="883" spans="1:7" ht="23.25" customHeight="1">
      <c r="A883" s="155" t="s">
        <v>133</v>
      </c>
      <c r="B883" s="156"/>
      <c r="C883" s="156"/>
      <c r="D883" s="157"/>
      <c r="E883" s="153">
        <v>1102001</v>
      </c>
      <c r="F883" s="75">
        <f>12146807.7+112031.91+134303.5-2064264.13+1270807.44+2048.83</f>
        <v>11601735.25</v>
      </c>
      <c r="G883" s="158"/>
    </row>
    <row r="884" spans="1:7" ht="23.25" customHeight="1">
      <c r="A884" s="155" t="s">
        <v>11</v>
      </c>
      <c r="B884" s="156"/>
      <c r="C884" s="156"/>
      <c r="D884" s="159"/>
      <c r="E884" s="153">
        <v>11012001</v>
      </c>
      <c r="F884" s="75">
        <f>129252.65+110000-200000</f>
        <v>39252.649999999994</v>
      </c>
      <c r="G884" s="158"/>
    </row>
    <row r="885" spans="1:7" ht="23.25" customHeight="1">
      <c r="A885" s="155" t="s">
        <v>82</v>
      </c>
      <c r="B885" s="156"/>
      <c r="C885" s="156"/>
      <c r="D885" s="159"/>
      <c r="E885" s="153">
        <v>11020001</v>
      </c>
      <c r="F885" s="103">
        <v>0</v>
      </c>
      <c r="G885" s="158"/>
    </row>
    <row r="886" spans="1:7" ht="23.25" customHeight="1">
      <c r="A886" s="155" t="s">
        <v>134</v>
      </c>
      <c r="B886" s="156"/>
      <c r="C886" s="156"/>
      <c r="D886" s="159"/>
      <c r="E886" s="153">
        <v>11012003</v>
      </c>
      <c r="F886" s="103">
        <v>0</v>
      </c>
      <c r="G886" s="158"/>
    </row>
    <row r="887" spans="1:7" ht="23.25" customHeight="1">
      <c r="A887" s="155" t="s">
        <v>351</v>
      </c>
      <c r="B887" s="156"/>
      <c r="C887" s="156"/>
      <c r="D887" s="159"/>
      <c r="E887" s="153">
        <v>11045000</v>
      </c>
      <c r="F887" s="103">
        <f>880000-110000+200000</f>
        <v>970000</v>
      </c>
      <c r="G887" s="158"/>
    </row>
    <row r="888" spans="1:7" ht="23.25" customHeight="1">
      <c r="A888" s="155" t="s">
        <v>18</v>
      </c>
      <c r="B888" s="156"/>
      <c r="C888" s="156"/>
      <c r="D888" s="159"/>
      <c r="E888" s="153">
        <v>21010000</v>
      </c>
      <c r="F888" s="160"/>
      <c r="G888" s="158">
        <f>794903-392500-17238.5-382500</f>
        <v>2664.5</v>
      </c>
    </row>
    <row r="889" spans="1:7" ht="23.25" customHeight="1">
      <c r="A889" s="155" t="s">
        <v>232</v>
      </c>
      <c r="B889" s="156"/>
      <c r="C889" s="156"/>
      <c r="D889" s="159"/>
      <c r="E889" s="153">
        <v>21040001</v>
      </c>
      <c r="F889" s="160"/>
      <c r="G889" s="158">
        <f>4919.6-4919.6+7194.35</f>
        <v>7194.35</v>
      </c>
    </row>
    <row r="890" spans="1:7" ht="23.25" customHeight="1">
      <c r="A890" s="155" t="s">
        <v>252</v>
      </c>
      <c r="B890" s="156"/>
      <c r="C890" s="156"/>
      <c r="D890" s="159"/>
      <c r="E890" s="153">
        <v>21040004</v>
      </c>
      <c r="F890" s="160"/>
      <c r="G890" s="158">
        <v>0</v>
      </c>
    </row>
    <row r="891" spans="1:7" ht="23.25" customHeight="1">
      <c r="A891" s="155" t="s">
        <v>253</v>
      </c>
      <c r="B891" s="156"/>
      <c r="C891" s="156"/>
      <c r="D891" s="159"/>
      <c r="E891" s="153">
        <v>21040005</v>
      </c>
      <c r="F891" s="160"/>
      <c r="G891" s="158">
        <f>2785.57+16.8</f>
        <v>2802.3700000000003</v>
      </c>
    </row>
    <row r="892" spans="1:7" ht="23.25" customHeight="1">
      <c r="A892" s="155" t="s">
        <v>254</v>
      </c>
      <c r="B892" s="156"/>
      <c r="C892" s="156"/>
      <c r="D892" s="159"/>
      <c r="E892" s="153">
        <v>21040014</v>
      </c>
      <c r="F892" s="160"/>
      <c r="G892" s="158">
        <f>178643.25-743.25</f>
        <v>177900</v>
      </c>
    </row>
    <row r="893" spans="1:7" ht="23.25" customHeight="1">
      <c r="A893" s="155" t="s">
        <v>255</v>
      </c>
      <c r="B893" s="156"/>
      <c r="C893" s="156"/>
      <c r="D893" s="159"/>
      <c r="E893" s="153">
        <v>21040099</v>
      </c>
      <c r="F893" s="160"/>
      <c r="G893" s="158">
        <v>225</v>
      </c>
    </row>
    <row r="894" spans="1:7" ht="23.25" customHeight="1">
      <c r="A894" s="155" t="s">
        <v>256</v>
      </c>
      <c r="B894" s="156"/>
      <c r="C894" s="156"/>
      <c r="D894" s="159"/>
      <c r="E894" s="153">
        <v>21040008</v>
      </c>
      <c r="F894" s="160"/>
      <c r="G894" s="158">
        <f>353695+19075+131400</f>
        <v>504170</v>
      </c>
    </row>
    <row r="895" spans="1:7" ht="23.25" customHeight="1">
      <c r="A895" s="155" t="s">
        <v>257</v>
      </c>
      <c r="B895" s="156"/>
      <c r="C895" s="156"/>
      <c r="D895" s="159"/>
      <c r="E895" s="153">
        <v>21040016</v>
      </c>
      <c r="F895" s="160"/>
      <c r="G895" s="158">
        <f>228784.22+468.43+100000+300000+380000</f>
        <v>1009252.65</v>
      </c>
    </row>
    <row r="896" spans="1:7" ht="23.25" customHeight="1">
      <c r="A896" s="155" t="s">
        <v>258</v>
      </c>
      <c r="B896" s="156"/>
      <c r="C896" s="156"/>
      <c r="D896" s="159"/>
      <c r="E896" s="153">
        <v>21040099</v>
      </c>
      <c r="F896" s="160"/>
      <c r="G896" s="158">
        <v>0</v>
      </c>
    </row>
    <row r="897" spans="1:7" ht="23.25" customHeight="1">
      <c r="A897" s="155" t="s">
        <v>38</v>
      </c>
      <c r="B897" s="156"/>
      <c r="C897" s="156"/>
      <c r="D897" s="164"/>
      <c r="E897" s="153">
        <v>31000000</v>
      </c>
      <c r="F897" s="158"/>
      <c r="G897" s="163">
        <f>2788709+5647.41+114.76</f>
        <v>2794471.17</v>
      </c>
    </row>
    <row r="898" spans="1:7" ht="23.25" customHeight="1">
      <c r="A898" s="155" t="s">
        <v>76</v>
      </c>
      <c r="B898" s="156"/>
      <c r="C898" s="156"/>
      <c r="D898" s="159"/>
      <c r="E898" s="153">
        <v>32000000</v>
      </c>
      <c r="F898" s="158"/>
      <c r="G898" s="163">
        <v>6149240.45</v>
      </c>
    </row>
    <row r="899" spans="1:7" ht="23.25" customHeight="1">
      <c r="A899" s="155" t="s">
        <v>172</v>
      </c>
      <c r="B899" s="156"/>
      <c r="C899" s="156"/>
      <c r="D899" s="159"/>
      <c r="E899" s="153">
        <v>41100001</v>
      </c>
      <c r="F899" s="158"/>
      <c r="G899" s="163">
        <f>1275.5+21070.25+705+4520.25</f>
        <v>27571</v>
      </c>
    </row>
    <row r="900" spans="1:7" ht="23.25" customHeight="1">
      <c r="A900" s="155" t="s">
        <v>19</v>
      </c>
      <c r="B900" s="156"/>
      <c r="C900" s="156"/>
      <c r="D900" s="159"/>
      <c r="E900" s="153">
        <v>41100002</v>
      </c>
      <c r="F900" s="158"/>
      <c r="G900" s="163">
        <f>43603.43+262.7</f>
        <v>43866.13</v>
      </c>
    </row>
    <row r="901" spans="1:7" ht="23.25" customHeight="1">
      <c r="A901" s="155" t="s">
        <v>177</v>
      </c>
      <c r="B901" s="156"/>
      <c r="C901" s="156"/>
      <c r="D901" s="159"/>
      <c r="E901" s="153">
        <v>41100003</v>
      </c>
      <c r="F901" s="158"/>
      <c r="G901" s="163">
        <v>2000</v>
      </c>
    </row>
    <row r="902" spans="1:7" ht="23.25" customHeight="1">
      <c r="A902" s="155" t="s">
        <v>198</v>
      </c>
      <c r="B902" s="156"/>
      <c r="C902" s="156"/>
      <c r="D902" s="159"/>
      <c r="E902" s="153">
        <v>41230003</v>
      </c>
      <c r="F902" s="158"/>
      <c r="G902" s="163">
        <f>500+400</f>
        <v>900</v>
      </c>
    </row>
    <row r="903" spans="1:7" ht="23.25" customHeight="1">
      <c r="A903" s="155" t="s">
        <v>227</v>
      </c>
      <c r="B903" s="156"/>
      <c r="C903" s="156"/>
      <c r="D903" s="159"/>
      <c r="E903" s="153">
        <v>41210004</v>
      </c>
      <c r="F903" s="158"/>
      <c r="G903" s="163">
        <f>853.6+19.4</f>
        <v>873</v>
      </c>
    </row>
    <row r="904" spans="1:7" ht="23.25" customHeight="1">
      <c r="A904" s="155" t="s">
        <v>23</v>
      </c>
      <c r="B904" s="156"/>
      <c r="C904" s="156"/>
      <c r="D904" s="159"/>
      <c r="E904" s="153">
        <v>41210007</v>
      </c>
      <c r="F904" s="158"/>
      <c r="G904" s="163">
        <f>2271+2770+1524</f>
        <v>6565</v>
      </c>
    </row>
    <row r="905" spans="1:7" ht="23.25" customHeight="1">
      <c r="A905" s="155" t="s">
        <v>385</v>
      </c>
      <c r="B905" s="156"/>
      <c r="C905" s="156"/>
      <c r="D905" s="159"/>
      <c r="E905" s="153">
        <v>41210029</v>
      </c>
      <c r="F905" s="158"/>
      <c r="G905" s="163">
        <f>250+100</f>
        <v>350</v>
      </c>
    </row>
    <row r="906" spans="1:7" ht="23.25" customHeight="1">
      <c r="A906" s="155" t="s">
        <v>188</v>
      </c>
      <c r="B906" s="156"/>
      <c r="C906" s="156"/>
      <c r="D906" s="159"/>
      <c r="E906" s="153">
        <v>41220010</v>
      </c>
      <c r="F906" s="158"/>
      <c r="G906" s="163">
        <f>7764+8165</f>
        <v>15929</v>
      </c>
    </row>
    <row r="907" spans="1:7" ht="23.25" customHeight="1">
      <c r="A907" s="155" t="s">
        <v>247</v>
      </c>
      <c r="B907" s="156"/>
      <c r="C907" s="156"/>
      <c r="D907" s="159"/>
      <c r="E907" s="153">
        <v>41230003</v>
      </c>
      <c r="F907" s="247"/>
      <c r="G907" s="163">
        <f>1975</f>
        <v>1975</v>
      </c>
    </row>
    <row r="908" spans="1:7" ht="23.25" customHeight="1">
      <c r="A908" s="155" t="s">
        <v>174</v>
      </c>
      <c r="B908" s="156"/>
      <c r="C908" s="156"/>
      <c r="D908" s="159"/>
      <c r="E908" s="153">
        <v>41300003</v>
      </c>
      <c r="F908" s="247"/>
      <c r="G908" s="163">
        <v>23672.04</v>
      </c>
    </row>
    <row r="909" spans="1:7" ht="23.25" customHeight="1">
      <c r="A909" s="155" t="s">
        <v>27</v>
      </c>
      <c r="B909" s="156"/>
      <c r="C909" s="156"/>
      <c r="D909" s="164"/>
      <c r="E909" s="165">
        <v>41500004</v>
      </c>
      <c r="F909" s="248"/>
      <c r="G909" s="75">
        <v>5200</v>
      </c>
    </row>
    <row r="910" spans="1:7" ht="23.25" customHeight="1">
      <c r="A910" s="155" t="s">
        <v>43</v>
      </c>
      <c r="B910" s="156"/>
      <c r="C910" s="156"/>
      <c r="D910" s="159"/>
      <c r="E910" s="161" t="s">
        <v>299</v>
      </c>
      <c r="F910" s="103"/>
      <c r="G910" s="75">
        <f>8169.4+100</f>
        <v>8269.4</v>
      </c>
    </row>
    <row r="911" spans="1:7" ht="23.25" customHeight="1">
      <c r="A911" s="155" t="s">
        <v>413</v>
      </c>
      <c r="B911" s="156"/>
      <c r="C911" s="156"/>
      <c r="D911" s="159"/>
      <c r="E911" s="161" t="s">
        <v>305</v>
      </c>
      <c r="F911" s="103"/>
      <c r="G911" s="75">
        <f>321418.09+35552.82</f>
        <v>356970.91000000003</v>
      </c>
    </row>
    <row r="912" spans="1:7" ht="23.25" customHeight="1">
      <c r="A912" s="155" t="s">
        <v>248</v>
      </c>
      <c r="B912" s="156"/>
      <c r="C912" s="156"/>
      <c r="D912" s="159"/>
      <c r="E912" s="165">
        <v>42100002</v>
      </c>
      <c r="F912" s="75"/>
      <c r="G912" s="75">
        <f>6733481.32+874806.78</f>
        <v>7608288.100000001</v>
      </c>
    </row>
    <row r="913" spans="1:7" ht="23.25" customHeight="1">
      <c r="A913" s="155" t="s">
        <v>249</v>
      </c>
      <c r="B913" s="156"/>
      <c r="C913" s="156"/>
      <c r="D913" s="159"/>
      <c r="E913" s="165">
        <v>42100004</v>
      </c>
      <c r="F913" s="75"/>
      <c r="G913" s="166">
        <f>1261191.7+122224.9</f>
        <v>1383416.5999999999</v>
      </c>
    </row>
    <row r="914" spans="1:7" ht="23.25" customHeight="1">
      <c r="A914" s="155" t="s">
        <v>24</v>
      </c>
      <c r="B914" s="156"/>
      <c r="C914" s="156"/>
      <c r="D914" s="159"/>
      <c r="E914" s="165">
        <v>42100005</v>
      </c>
      <c r="F914" s="75"/>
      <c r="G914" s="166">
        <f>59632.84+7270.08</f>
        <v>66902.92</v>
      </c>
    </row>
    <row r="915" spans="1:7" ht="23.25" customHeight="1">
      <c r="A915" s="155" t="s">
        <v>20</v>
      </c>
      <c r="B915" s="156"/>
      <c r="C915" s="156"/>
      <c r="D915" s="159"/>
      <c r="E915" s="165">
        <v>42100006</v>
      </c>
      <c r="F915" s="75"/>
      <c r="G915" s="166">
        <f>606470.18+58303.11</f>
        <v>664773.29</v>
      </c>
    </row>
    <row r="916" spans="1:7" ht="23.25" customHeight="1">
      <c r="A916" s="155" t="s">
        <v>21</v>
      </c>
      <c r="B916" s="156"/>
      <c r="C916" s="156"/>
      <c r="D916" s="159"/>
      <c r="E916" s="165">
        <v>42100007</v>
      </c>
      <c r="F916" s="75"/>
      <c r="G916" s="166">
        <f>1477956.03+142149.35</f>
        <v>1620105.3800000001</v>
      </c>
    </row>
    <row r="917" spans="1:7" ht="23.25" customHeight="1">
      <c r="A917" s="156"/>
      <c r="B917" s="156"/>
      <c r="C917" s="156"/>
      <c r="D917" s="156"/>
      <c r="E917" s="218"/>
      <c r="F917" s="219"/>
      <c r="G917" s="220"/>
    </row>
    <row r="918" spans="1:7" ht="23.25" customHeight="1">
      <c r="A918" s="156"/>
      <c r="B918" s="156"/>
      <c r="C918" s="156"/>
      <c r="D918" s="156"/>
      <c r="E918" s="218"/>
      <c r="F918" s="219"/>
      <c r="G918" s="220"/>
    </row>
    <row r="919" spans="1:7" ht="23.25" customHeight="1" thickBot="1">
      <c r="A919" s="156"/>
      <c r="B919" s="156"/>
      <c r="C919" s="156"/>
      <c r="D919" s="156"/>
      <c r="E919" s="218">
        <v>-2</v>
      </c>
      <c r="F919" s="219"/>
      <c r="G919" s="220"/>
    </row>
    <row r="920" spans="1:7" ht="23.25" customHeight="1" thickBot="1">
      <c r="A920" s="340" t="s">
        <v>29</v>
      </c>
      <c r="B920" s="341"/>
      <c r="C920" s="341"/>
      <c r="D920" s="342"/>
      <c r="E920" s="223" t="s">
        <v>30</v>
      </c>
      <c r="F920" s="286" t="s">
        <v>31</v>
      </c>
      <c r="G920" s="287" t="s">
        <v>32</v>
      </c>
    </row>
    <row r="921" spans="1:7" ht="23.25" customHeight="1">
      <c r="A921" s="155" t="s">
        <v>409</v>
      </c>
      <c r="B921" s="156"/>
      <c r="C921" s="156"/>
      <c r="D921" s="159"/>
      <c r="E921" s="165">
        <v>42100012</v>
      </c>
      <c r="F921" s="248"/>
      <c r="G921" s="166">
        <v>34593.86</v>
      </c>
    </row>
    <row r="922" spans="1:7" ht="23.25" customHeight="1">
      <c r="A922" s="155" t="s">
        <v>22</v>
      </c>
      <c r="B922" s="156"/>
      <c r="C922" s="156"/>
      <c r="D922" s="159"/>
      <c r="E922" s="165">
        <v>42100013</v>
      </c>
      <c r="F922" s="248"/>
      <c r="G922" s="166">
        <v>22913.35</v>
      </c>
    </row>
    <row r="923" spans="1:7" ht="23.25" customHeight="1">
      <c r="A923" s="155" t="s">
        <v>250</v>
      </c>
      <c r="B923" s="156"/>
      <c r="C923" s="156"/>
      <c r="D923" s="159"/>
      <c r="E923" s="165">
        <v>42100015</v>
      </c>
      <c r="F923" s="248"/>
      <c r="G923" s="166">
        <f>314014+30481</f>
        <v>344495</v>
      </c>
    </row>
    <row r="924" spans="1:7" ht="23.25" customHeight="1">
      <c r="A924" s="155" t="s">
        <v>251</v>
      </c>
      <c r="B924" s="156"/>
      <c r="C924" s="156"/>
      <c r="D924" s="159"/>
      <c r="E924" s="165">
        <v>43100002</v>
      </c>
      <c r="F924" s="248"/>
      <c r="G924" s="166">
        <v>10085025</v>
      </c>
    </row>
    <row r="925" spans="1:7" ht="23.25" customHeight="1">
      <c r="A925" s="155" t="s">
        <v>45</v>
      </c>
      <c r="B925" s="156"/>
      <c r="C925" s="156"/>
      <c r="D925" s="159"/>
      <c r="E925" s="161" t="s">
        <v>244</v>
      </c>
      <c r="F925" s="288">
        <f>5293855+23853+416400-600</f>
        <v>5733508</v>
      </c>
      <c r="G925" s="158"/>
    </row>
    <row r="926" spans="1:7" ht="23.25" customHeight="1">
      <c r="A926" s="155" t="s">
        <v>135</v>
      </c>
      <c r="B926" s="156"/>
      <c r="C926" s="156"/>
      <c r="D926" s="159"/>
      <c r="E926" s="162" t="s">
        <v>245</v>
      </c>
      <c r="F926" s="160">
        <f>2070600+207060</f>
        <v>2277660</v>
      </c>
      <c r="G926" s="68"/>
    </row>
    <row r="927" spans="1:7" ht="23.25" customHeight="1">
      <c r="A927" s="155" t="s">
        <v>107</v>
      </c>
      <c r="B927" s="156"/>
      <c r="C927" s="156"/>
      <c r="D927" s="159"/>
      <c r="E927" s="162" t="s">
        <v>136</v>
      </c>
      <c r="F927" s="160">
        <f>3355074+352030</f>
        <v>3707104</v>
      </c>
      <c r="G927" s="68"/>
    </row>
    <row r="928" spans="1:7" ht="23.25" customHeight="1">
      <c r="A928" s="155" t="s">
        <v>93</v>
      </c>
      <c r="B928" s="156"/>
      <c r="C928" s="156"/>
      <c r="D928" s="159"/>
      <c r="E928" s="162" t="s">
        <v>136</v>
      </c>
      <c r="F928" s="160">
        <f>134900+13760</f>
        <v>148660</v>
      </c>
      <c r="G928" s="68"/>
    </row>
    <row r="929" spans="1:7" ht="23.25" customHeight="1">
      <c r="A929" s="155" t="s">
        <v>33</v>
      </c>
      <c r="B929" s="156"/>
      <c r="C929" s="156"/>
      <c r="D929" s="159"/>
      <c r="E929" s="162" t="s">
        <v>136</v>
      </c>
      <c r="F929" s="160">
        <f>1506150+159875</f>
        <v>1666025</v>
      </c>
      <c r="G929" s="68"/>
    </row>
    <row r="930" spans="1:7" ht="23.25" customHeight="1">
      <c r="A930" s="155" t="s">
        <v>80</v>
      </c>
      <c r="B930" s="156"/>
      <c r="C930" s="156"/>
      <c r="D930" s="159"/>
      <c r="E930" s="162" t="s">
        <v>137</v>
      </c>
      <c r="F930" s="158">
        <f>129280.5+15200</f>
        <v>144480.5</v>
      </c>
      <c r="G930" s="68"/>
    </row>
    <row r="931" spans="1:7" ht="23.25" customHeight="1">
      <c r="A931" s="155" t="s">
        <v>81</v>
      </c>
      <c r="B931" s="156"/>
      <c r="C931" s="156"/>
      <c r="D931" s="159"/>
      <c r="E931" s="162" t="s">
        <v>138</v>
      </c>
      <c r="F931" s="158">
        <f>2905073.27+193319</f>
        <v>3098392.27</v>
      </c>
      <c r="G931" s="68"/>
    </row>
    <row r="932" spans="1:7" ht="23.25" customHeight="1">
      <c r="A932" s="81" t="s">
        <v>83</v>
      </c>
      <c r="B932" s="156"/>
      <c r="C932" s="156"/>
      <c r="D932" s="159"/>
      <c r="E932" s="162" t="s">
        <v>246</v>
      </c>
      <c r="F932" s="158">
        <f>1021615.27+165269.5</f>
        <v>1186884.77</v>
      </c>
      <c r="G932" s="68"/>
    </row>
    <row r="933" spans="1:7" ht="23.25" customHeight="1">
      <c r="A933" s="155" t="s">
        <v>34</v>
      </c>
      <c r="B933" s="156"/>
      <c r="C933" s="156"/>
      <c r="D933" s="159"/>
      <c r="E933" s="104">
        <v>534000</v>
      </c>
      <c r="F933" s="158">
        <f>149507.17+5844.13</f>
        <v>155351.30000000002</v>
      </c>
      <c r="G933" s="163"/>
    </row>
    <row r="934" spans="1:7" ht="23.25" customHeight="1">
      <c r="A934" s="155" t="s">
        <v>35</v>
      </c>
      <c r="B934" s="156"/>
      <c r="C934" s="156"/>
      <c r="D934" s="159"/>
      <c r="E934" s="153">
        <v>561000</v>
      </c>
      <c r="F934" s="75">
        <f>1162571.73+30000</f>
        <v>1192571.73</v>
      </c>
      <c r="G934" s="166"/>
    </row>
    <row r="935" spans="1:7" ht="23.25" customHeight="1">
      <c r="A935" s="155" t="s">
        <v>406</v>
      </c>
      <c r="B935" s="156"/>
      <c r="C935" s="156"/>
      <c r="D935" s="159"/>
      <c r="E935" s="165">
        <v>541000</v>
      </c>
      <c r="F935" s="75">
        <f>165100+46850</f>
        <v>211950</v>
      </c>
      <c r="G935" s="166"/>
    </row>
    <row r="936" spans="1:7" ht="23.25" customHeight="1">
      <c r="A936" s="155" t="s">
        <v>37</v>
      </c>
      <c r="B936" s="156"/>
      <c r="C936" s="156"/>
      <c r="D936" s="159"/>
      <c r="E936" s="165">
        <v>542000</v>
      </c>
      <c r="F936" s="75">
        <f>394500+444500</f>
        <v>839000</v>
      </c>
      <c r="G936" s="166"/>
    </row>
    <row r="937" spans="1:7" ht="23.25" customHeight="1">
      <c r="A937" s="155"/>
      <c r="B937" s="156"/>
      <c r="C937" s="156"/>
      <c r="D937" s="159"/>
      <c r="E937" s="165"/>
      <c r="F937" s="75"/>
      <c r="G937" s="166"/>
    </row>
    <row r="938" spans="1:7" ht="23.25" customHeight="1">
      <c r="A938" s="155"/>
      <c r="B938" s="156"/>
      <c r="C938" s="156"/>
      <c r="D938" s="159"/>
      <c r="E938" s="165"/>
      <c r="F938" s="75"/>
      <c r="G938" s="166"/>
    </row>
    <row r="939" spans="1:7" ht="23.25" customHeight="1">
      <c r="A939" s="155"/>
      <c r="B939" s="156"/>
      <c r="C939" s="156"/>
      <c r="D939" s="159"/>
      <c r="E939" s="165"/>
      <c r="F939" s="75"/>
      <c r="G939" s="166"/>
    </row>
    <row r="940" spans="1:7" ht="23.25" customHeight="1">
      <c r="A940" s="155"/>
      <c r="B940" s="156"/>
      <c r="C940" s="156"/>
      <c r="D940" s="159"/>
      <c r="E940" s="165"/>
      <c r="F940" s="75"/>
      <c r="G940" s="166"/>
    </row>
    <row r="941" spans="1:7" ht="23.25" customHeight="1">
      <c r="A941" s="155"/>
      <c r="B941" s="156"/>
      <c r="C941" s="156"/>
      <c r="D941" s="159"/>
      <c r="E941" s="165"/>
      <c r="F941" s="75"/>
      <c r="G941" s="166"/>
    </row>
    <row r="942" spans="1:7" ht="23.25" customHeight="1">
      <c r="A942" s="155"/>
      <c r="B942" s="156"/>
      <c r="C942" s="156"/>
      <c r="D942" s="159"/>
      <c r="E942" s="165"/>
      <c r="F942" s="75"/>
      <c r="G942" s="246"/>
    </row>
    <row r="943" spans="1:7" ht="23.25" customHeight="1" thickBot="1">
      <c r="A943" s="224"/>
      <c r="B943" s="225"/>
      <c r="C943" s="225"/>
      <c r="D943" s="226"/>
      <c r="E943" s="227"/>
      <c r="F943" s="171">
        <f>SUM(F882:F942)</f>
        <v>32972575.47</v>
      </c>
      <c r="G943" s="172">
        <f>SUM(G882:G942)</f>
        <v>32972575.470000003</v>
      </c>
    </row>
    <row r="944" ht="23.25" customHeight="1" thickTop="1"/>
    <row r="948" spans="1:7" ht="23.25" customHeight="1">
      <c r="A948" s="174" t="s">
        <v>0</v>
      </c>
      <c r="D948" s="175" t="s">
        <v>184</v>
      </c>
      <c r="F948" s="174" t="s">
        <v>181</v>
      </c>
      <c r="G948" s="70"/>
    </row>
    <row r="949" spans="1:7" ht="23.25" customHeight="1">
      <c r="A949" s="174" t="s">
        <v>423</v>
      </c>
      <c r="D949" s="174" t="s">
        <v>185</v>
      </c>
      <c r="F949" s="174" t="s">
        <v>182</v>
      </c>
      <c r="G949" s="70"/>
    </row>
    <row r="950" spans="1:7" ht="23.25" customHeight="1">
      <c r="A950" s="174" t="s">
        <v>424</v>
      </c>
      <c r="D950" s="174" t="s">
        <v>186</v>
      </c>
      <c r="F950" s="174" t="s">
        <v>183</v>
      </c>
      <c r="G950" s="70"/>
    </row>
    <row r="951" spans="1:7" ht="23.25" customHeight="1">
      <c r="A951" s="174" t="s">
        <v>1</v>
      </c>
      <c r="G951" s="70"/>
    </row>
    <row r="961" spans="1:7" ht="23.25" customHeight="1">
      <c r="A961" s="335" t="s">
        <v>13</v>
      </c>
      <c r="B961" s="335"/>
      <c r="C961" s="335"/>
      <c r="D961" s="335"/>
      <c r="E961" s="335"/>
      <c r="F961" s="335"/>
      <c r="G961" s="335"/>
    </row>
    <row r="962" spans="1:7" ht="23.25" customHeight="1">
      <c r="A962" s="336" t="s">
        <v>115</v>
      </c>
      <c r="B962" s="336"/>
      <c r="C962" s="336"/>
      <c r="D962" s="336"/>
      <c r="E962" s="336"/>
      <c r="F962" s="336"/>
      <c r="G962" s="336"/>
    </row>
    <row r="963" spans="1:7" ht="23.25" customHeight="1">
      <c r="A963" s="147"/>
      <c r="B963" s="147"/>
      <c r="C963" s="147"/>
      <c r="D963" s="337" t="s">
        <v>267</v>
      </c>
      <c r="E963" s="337"/>
      <c r="F963" s="337"/>
      <c r="G963" s="147"/>
    </row>
    <row r="964" spans="1:7" ht="23.25" customHeight="1" thickBot="1">
      <c r="A964" s="336" t="s">
        <v>617</v>
      </c>
      <c r="B964" s="336"/>
      <c r="C964" s="336"/>
      <c r="D964" s="336"/>
      <c r="E964" s="336"/>
      <c r="F964" s="336"/>
      <c r="G964" s="336"/>
    </row>
    <row r="965" spans="1:7" ht="23.25" customHeight="1" thickBot="1">
      <c r="A965" s="338" t="s">
        <v>29</v>
      </c>
      <c r="B965" s="339"/>
      <c r="C965" s="339"/>
      <c r="D965" s="339"/>
      <c r="E965" s="148" t="s">
        <v>30</v>
      </c>
      <c r="F965" s="148" t="s">
        <v>31</v>
      </c>
      <c r="G965" s="149" t="s">
        <v>32</v>
      </c>
    </row>
    <row r="966" spans="1:7" ht="23.25" customHeight="1">
      <c r="A966" s="150" t="s">
        <v>108</v>
      </c>
      <c r="B966" s="151"/>
      <c r="C966" s="151"/>
      <c r="D966" s="152"/>
      <c r="E966" s="153">
        <v>1101000</v>
      </c>
      <c r="F966" s="102">
        <f>12215.5-11864.75+4197-4323.5+5504.75-5631+590.5-576+100013.5-100126</f>
        <v>0</v>
      </c>
      <c r="G966" s="154"/>
    </row>
    <row r="967" spans="1:7" ht="23.25" customHeight="1">
      <c r="A967" s="155" t="s">
        <v>133</v>
      </c>
      <c r="B967" s="156"/>
      <c r="C967" s="156"/>
      <c r="D967" s="157"/>
      <c r="E967" s="153">
        <v>1102001</v>
      </c>
      <c r="F967" s="75">
        <f>11601735.25+2303206.41+99979.55-2816741.42-796534.73</f>
        <v>10391645.06</v>
      </c>
      <c r="G967" s="158"/>
    </row>
    <row r="968" spans="1:7" ht="23.25" customHeight="1">
      <c r="A968" s="155" t="s">
        <v>11</v>
      </c>
      <c r="B968" s="156"/>
      <c r="C968" s="156"/>
      <c r="D968" s="159"/>
      <c r="E968" s="153">
        <v>11012001</v>
      </c>
      <c r="F968" s="75">
        <f>129252.65+110000-200000+364.43</f>
        <v>39617.079999999994</v>
      </c>
      <c r="G968" s="158"/>
    </row>
    <row r="969" spans="1:7" ht="23.25" customHeight="1">
      <c r="A969" s="155" t="s">
        <v>82</v>
      </c>
      <c r="B969" s="156"/>
      <c r="C969" s="156"/>
      <c r="D969" s="159"/>
      <c r="E969" s="153">
        <v>11020001</v>
      </c>
      <c r="F969" s="103">
        <v>0</v>
      </c>
      <c r="G969" s="158"/>
    </row>
    <row r="970" spans="1:7" ht="23.25" customHeight="1">
      <c r="A970" s="155" t="s">
        <v>134</v>
      </c>
      <c r="B970" s="156"/>
      <c r="C970" s="156"/>
      <c r="D970" s="159"/>
      <c r="E970" s="153">
        <v>11012003</v>
      </c>
      <c r="F970" s="103">
        <v>796534.73</v>
      </c>
      <c r="G970" s="158"/>
    </row>
    <row r="971" spans="1:7" ht="23.25" customHeight="1">
      <c r="A971" s="155" t="s">
        <v>351</v>
      </c>
      <c r="B971" s="156"/>
      <c r="C971" s="156"/>
      <c r="D971" s="159"/>
      <c r="E971" s="153">
        <v>11045000</v>
      </c>
      <c r="F971" s="103">
        <f>880000-110000+200000</f>
        <v>970000</v>
      </c>
      <c r="G971" s="158"/>
    </row>
    <row r="972" spans="1:7" ht="23.25" customHeight="1">
      <c r="A972" s="155" t="s">
        <v>18</v>
      </c>
      <c r="B972" s="156"/>
      <c r="C972" s="156"/>
      <c r="D972" s="159"/>
      <c r="E972" s="153">
        <v>21010000</v>
      </c>
      <c r="F972" s="160"/>
      <c r="G972" s="158">
        <f>794903-392500-17238.5-382500</f>
        <v>2664.5</v>
      </c>
    </row>
    <row r="973" spans="1:7" ht="23.25" customHeight="1">
      <c r="A973" s="155" t="s">
        <v>232</v>
      </c>
      <c r="B973" s="156"/>
      <c r="C973" s="156"/>
      <c r="D973" s="159"/>
      <c r="E973" s="153">
        <v>21040001</v>
      </c>
      <c r="F973" s="160"/>
      <c r="G973" s="158">
        <f>4919.6-4919.6+7194.35-7194.35+11468.04</f>
        <v>11468.04</v>
      </c>
    </row>
    <row r="974" spans="1:7" ht="23.25" customHeight="1">
      <c r="A974" s="155" t="s">
        <v>252</v>
      </c>
      <c r="B974" s="156"/>
      <c r="C974" s="156"/>
      <c r="D974" s="159"/>
      <c r="E974" s="153">
        <v>21040004</v>
      </c>
      <c r="F974" s="160"/>
      <c r="G974" s="158">
        <v>0</v>
      </c>
    </row>
    <row r="975" spans="1:7" ht="23.25" customHeight="1">
      <c r="A975" s="155" t="s">
        <v>253</v>
      </c>
      <c r="B975" s="156"/>
      <c r="C975" s="156"/>
      <c r="D975" s="159"/>
      <c r="E975" s="153">
        <v>21040005</v>
      </c>
      <c r="F975" s="160"/>
      <c r="G975" s="158">
        <f>2785.57+16.8+88.12</f>
        <v>2890.4900000000002</v>
      </c>
    </row>
    <row r="976" spans="1:7" ht="23.25" customHeight="1">
      <c r="A976" s="155" t="s">
        <v>254</v>
      </c>
      <c r="B976" s="156"/>
      <c r="C976" s="156"/>
      <c r="D976" s="159"/>
      <c r="E976" s="153">
        <v>21040014</v>
      </c>
      <c r="F976" s="160"/>
      <c r="G976" s="158">
        <f>178643.25-743.25-164900</f>
        <v>13000</v>
      </c>
    </row>
    <row r="977" spans="1:7" ht="23.25" customHeight="1">
      <c r="A977" s="155" t="s">
        <v>255</v>
      </c>
      <c r="B977" s="156"/>
      <c r="C977" s="156"/>
      <c r="D977" s="159"/>
      <c r="E977" s="153">
        <v>21040099</v>
      </c>
      <c r="F977" s="160"/>
      <c r="G977" s="158">
        <v>225</v>
      </c>
    </row>
    <row r="978" spans="1:7" ht="23.25" customHeight="1">
      <c r="A978" s="155" t="s">
        <v>256</v>
      </c>
      <c r="B978" s="156"/>
      <c r="C978" s="156"/>
      <c r="D978" s="159"/>
      <c r="E978" s="153">
        <v>21040008</v>
      </c>
      <c r="F978" s="160"/>
      <c r="G978" s="158">
        <f>353695+19075+131400+1425-103375</f>
        <v>402220</v>
      </c>
    </row>
    <row r="979" spans="1:7" ht="23.25" customHeight="1">
      <c r="A979" s="155" t="s">
        <v>257</v>
      </c>
      <c r="B979" s="156"/>
      <c r="C979" s="156"/>
      <c r="D979" s="159"/>
      <c r="E979" s="153">
        <v>21040016</v>
      </c>
      <c r="F979" s="160"/>
      <c r="G979" s="158">
        <f>228784.22+468.43+100000+300000+380000+364.43</f>
        <v>1009617.0800000001</v>
      </c>
    </row>
    <row r="980" spans="1:7" ht="23.25" customHeight="1">
      <c r="A980" s="155" t="s">
        <v>258</v>
      </c>
      <c r="B980" s="156"/>
      <c r="C980" s="156"/>
      <c r="D980" s="159"/>
      <c r="E980" s="153">
        <v>21040099</v>
      </c>
      <c r="F980" s="160"/>
      <c r="G980" s="158">
        <v>0</v>
      </c>
    </row>
    <row r="981" spans="1:7" ht="23.25" customHeight="1">
      <c r="A981" s="155" t="s">
        <v>38</v>
      </c>
      <c r="B981" s="156"/>
      <c r="C981" s="156"/>
      <c r="D981" s="164"/>
      <c r="E981" s="153">
        <v>31000000</v>
      </c>
      <c r="F981" s="158"/>
      <c r="G981" s="163">
        <f>2788709+5647.41+114.76-201750</f>
        <v>2592721.17</v>
      </c>
    </row>
    <row r="982" spans="1:7" ht="23.25" customHeight="1">
      <c r="A982" s="155" t="s">
        <v>76</v>
      </c>
      <c r="B982" s="156"/>
      <c r="C982" s="156"/>
      <c r="D982" s="159"/>
      <c r="E982" s="153">
        <v>32000000</v>
      </c>
      <c r="F982" s="158"/>
      <c r="G982" s="163">
        <v>6149240.45</v>
      </c>
    </row>
    <row r="983" spans="1:7" ht="23.25" customHeight="1">
      <c r="A983" s="155" t="s">
        <v>172</v>
      </c>
      <c r="B983" s="156"/>
      <c r="C983" s="156"/>
      <c r="D983" s="159"/>
      <c r="E983" s="153">
        <v>41100001</v>
      </c>
      <c r="F983" s="158"/>
      <c r="G983" s="163">
        <f>1275.5+21070.25+705+4520.25+1500</f>
        <v>29071</v>
      </c>
    </row>
    <row r="984" spans="1:7" ht="23.25" customHeight="1">
      <c r="A984" s="155" t="s">
        <v>19</v>
      </c>
      <c r="B984" s="156"/>
      <c r="C984" s="156"/>
      <c r="D984" s="159"/>
      <c r="E984" s="153">
        <v>41100002</v>
      </c>
      <c r="F984" s="158"/>
      <c r="G984" s="163">
        <f>43603.43+262.7+1378.38</f>
        <v>45244.509999999995</v>
      </c>
    </row>
    <row r="985" spans="1:7" ht="23.25" customHeight="1">
      <c r="A985" s="155" t="s">
        <v>177</v>
      </c>
      <c r="B985" s="156"/>
      <c r="C985" s="156"/>
      <c r="D985" s="159"/>
      <c r="E985" s="153">
        <v>41100003</v>
      </c>
      <c r="F985" s="158"/>
      <c r="G985" s="163">
        <f>2000+3600</f>
        <v>5600</v>
      </c>
    </row>
    <row r="986" spans="1:7" ht="23.25" customHeight="1">
      <c r="A986" s="155" t="s">
        <v>198</v>
      </c>
      <c r="B986" s="156"/>
      <c r="C986" s="156"/>
      <c r="D986" s="159"/>
      <c r="E986" s="153">
        <v>41230003</v>
      </c>
      <c r="F986" s="158"/>
      <c r="G986" s="163">
        <f>500+400</f>
        <v>900</v>
      </c>
    </row>
    <row r="987" spans="1:7" ht="23.25" customHeight="1">
      <c r="A987" s="155" t="s">
        <v>227</v>
      </c>
      <c r="B987" s="156"/>
      <c r="C987" s="156"/>
      <c r="D987" s="159"/>
      <c r="E987" s="153">
        <v>41210004</v>
      </c>
      <c r="F987" s="158"/>
      <c r="G987" s="163">
        <f>853.6+19.4</f>
        <v>873</v>
      </c>
    </row>
    <row r="988" spans="1:7" ht="23.25" customHeight="1">
      <c r="A988" s="155" t="s">
        <v>23</v>
      </c>
      <c r="B988" s="156"/>
      <c r="C988" s="156"/>
      <c r="D988" s="159"/>
      <c r="E988" s="153">
        <v>41210007</v>
      </c>
      <c r="F988" s="158"/>
      <c r="G988" s="163">
        <f>2271+2770+1524+33</f>
        <v>6598</v>
      </c>
    </row>
    <row r="989" spans="1:7" ht="23.25" customHeight="1">
      <c r="A989" s="155" t="s">
        <v>385</v>
      </c>
      <c r="B989" s="156"/>
      <c r="C989" s="156"/>
      <c r="D989" s="159"/>
      <c r="E989" s="153">
        <v>41210029</v>
      </c>
      <c r="F989" s="158"/>
      <c r="G989" s="163">
        <f>250+100+50</f>
        <v>400</v>
      </c>
    </row>
    <row r="990" spans="1:7" ht="23.25" customHeight="1">
      <c r="A990" s="155" t="s">
        <v>188</v>
      </c>
      <c r="B990" s="156"/>
      <c r="C990" s="156"/>
      <c r="D990" s="159"/>
      <c r="E990" s="153">
        <v>41220010</v>
      </c>
      <c r="F990" s="158"/>
      <c r="G990" s="163">
        <f>7764+8165</f>
        <v>15929</v>
      </c>
    </row>
    <row r="991" spans="1:7" ht="23.25" customHeight="1">
      <c r="A991" s="155" t="s">
        <v>247</v>
      </c>
      <c r="B991" s="156"/>
      <c r="C991" s="156"/>
      <c r="D991" s="159"/>
      <c r="E991" s="153">
        <v>41230003</v>
      </c>
      <c r="F991" s="247"/>
      <c r="G991" s="163">
        <f>1975</f>
        <v>1975</v>
      </c>
    </row>
    <row r="992" spans="1:7" ht="23.25" customHeight="1">
      <c r="A992" s="155" t="s">
        <v>174</v>
      </c>
      <c r="B992" s="156"/>
      <c r="C992" s="156"/>
      <c r="D992" s="159"/>
      <c r="E992" s="153">
        <v>41300003</v>
      </c>
      <c r="F992" s="247"/>
      <c r="G992" s="163">
        <f>23672.04+22525.05</f>
        <v>46197.09</v>
      </c>
    </row>
    <row r="993" spans="1:7" ht="23.25" customHeight="1">
      <c r="A993" s="155" t="s">
        <v>27</v>
      </c>
      <c r="B993" s="156"/>
      <c r="C993" s="156"/>
      <c r="D993" s="164"/>
      <c r="E993" s="165">
        <v>41500004</v>
      </c>
      <c r="F993" s="248"/>
      <c r="G993" s="75">
        <v>5200</v>
      </c>
    </row>
    <row r="994" spans="1:7" ht="23.25" customHeight="1">
      <c r="A994" s="155" t="s">
        <v>43</v>
      </c>
      <c r="B994" s="156"/>
      <c r="C994" s="156"/>
      <c r="D994" s="159"/>
      <c r="E994" s="161" t="s">
        <v>299</v>
      </c>
      <c r="F994" s="103"/>
      <c r="G994" s="75">
        <f>8169.4+100+37900</f>
        <v>46169.4</v>
      </c>
    </row>
    <row r="995" spans="1:7" ht="23.25" customHeight="1">
      <c r="A995" s="155" t="s">
        <v>413</v>
      </c>
      <c r="B995" s="156"/>
      <c r="C995" s="156"/>
      <c r="D995" s="159"/>
      <c r="E995" s="161" t="s">
        <v>305</v>
      </c>
      <c r="F995" s="103"/>
      <c r="G995" s="75">
        <f>321418.09+35552.82+81376.31</f>
        <v>438347.22000000003</v>
      </c>
    </row>
    <row r="996" spans="1:7" ht="23.25" customHeight="1">
      <c r="A996" s="155" t="s">
        <v>248</v>
      </c>
      <c r="B996" s="156"/>
      <c r="C996" s="156"/>
      <c r="D996" s="159"/>
      <c r="E996" s="165">
        <v>42100002</v>
      </c>
      <c r="F996" s="75"/>
      <c r="G996" s="75">
        <f>6733481.32+874806.78+1580377.13</f>
        <v>9188665.23</v>
      </c>
    </row>
    <row r="997" spans="1:7" ht="23.25" customHeight="1">
      <c r="A997" s="155" t="s">
        <v>249</v>
      </c>
      <c r="B997" s="156"/>
      <c r="C997" s="156"/>
      <c r="D997" s="159"/>
      <c r="E997" s="165">
        <v>42100004</v>
      </c>
      <c r="F997" s="75"/>
      <c r="G997" s="166">
        <f>1261191.7+122224.9+159840.87</f>
        <v>1543257.4699999997</v>
      </c>
    </row>
    <row r="998" spans="1:7" ht="23.25" customHeight="1">
      <c r="A998" s="155" t="s">
        <v>24</v>
      </c>
      <c r="B998" s="156"/>
      <c r="C998" s="156"/>
      <c r="D998" s="159"/>
      <c r="E998" s="165">
        <v>42100005</v>
      </c>
      <c r="F998" s="75"/>
      <c r="G998" s="166">
        <f>59632.84+7270.08+13534.44</f>
        <v>80437.36</v>
      </c>
    </row>
    <row r="999" spans="1:7" ht="23.25" customHeight="1">
      <c r="A999" s="155" t="s">
        <v>20</v>
      </c>
      <c r="B999" s="156"/>
      <c r="C999" s="156"/>
      <c r="D999" s="159"/>
      <c r="E999" s="165">
        <v>42100006</v>
      </c>
      <c r="F999" s="75"/>
      <c r="G999" s="166">
        <f>606470.18+58303.11+69188.4</f>
        <v>733961.6900000001</v>
      </c>
    </row>
    <row r="1000" spans="1:7" ht="23.25" customHeight="1">
      <c r="A1000" s="155" t="s">
        <v>21</v>
      </c>
      <c r="B1000" s="156"/>
      <c r="C1000" s="156"/>
      <c r="D1000" s="159"/>
      <c r="E1000" s="165">
        <v>42100007</v>
      </c>
      <c r="F1000" s="75"/>
      <c r="G1000" s="166">
        <f>1477956.03+142149.35+148655.99</f>
        <v>1768761.37</v>
      </c>
    </row>
    <row r="1001" spans="1:7" ht="23.25" customHeight="1">
      <c r="A1001" s="156"/>
      <c r="B1001" s="156"/>
      <c r="C1001" s="156"/>
      <c r="D1001" s="156"/>
      <c r="E1001" s="218"/>
      <c r="F1001" s="219"/>
      <c r="G1001" s="220"/>
    </row>
    <row r="1002" spans="1:7" ht="23.25" customHeight="1">
      <c r="A1002" s="156"/>
      <c r="B1002" s="156"/>
      <c r="C1002" s="156"/>
      <c r="D1002" s="156"/>
      <c r="E1002" s="218"/>
      <c r="F1002" s="219"/>
      <c r="G1002" s="220"/>
    </row>
    <row r="1003" spans="1:7" ht="23.25" customHeight="1" thickBot="1">
      <c r="A1003" s="156"/>
      <c r="B1003" s="156"/>
      <c r="C1003" s="156"/>
      <c r="D1003" s="156"/>
      <c r="E1003" s="218">
        <v>-2</v>
      </c>
      <c r="F1003" s="219"/>
      <c r="G1003" s="220"/>
    </row>
    <row r="1004" spans="1:7" ht="23.25" customHeight="1" thickBot="1">
      <c r="A1004" s="340" t="s">
        <v>29</v>
      </c>
      <c r="B1004" s="341"/>
      <c r="C1004" s="341"/>
      <c r="D1004" s="342"/>
      <c r="E1004" s="223" t="s">
        <v>30</v>
      </c>
      <c r="F1004" s="286" t="s">
        <v>31</v>
      </c>
      <c r="G1004" s="287" t="s">
        <v>32</v>
      </c>
    </row>
    <row r="1005" spans="1:7" ht="23.25" customHeight="1">
      <c r="A1005" s="155" t="s">
        <v>409</v>
      </c>
      <c r="B1005" s="156"/>
      <c r="C1005" s="156"/>
      <c r="D1005" s="159"/>
      <c r="E1005" s="165">
        <v>42100012</v>
      </c>
      <c r="F1005" s="248"/>
      <c r="G1005" s="166">
        <f>34593.86+10745.27</f>
        <v>45339.130000000005</v>
      </c>
    </row>
    <row r="1006" spans="1:7" ht="23.25" customHeight="1">
      <c r="A1006" s="155" t="s">
        <v>22</v>
      </c>
      <c r="B1006" s="156"/>
      <c r="C1006" s="156"/>
      <c r="D1006" s="159"/>
      <c r="E1006" s="165">
        <v>42100013</v>
      </c>
      <c r="F1006" s="248"/>
      <c r="G1006" s="166">
        <v>22913.35</v>
      </c>
    </row>
    <row r="1007" spans="1:7" ht="23.25" customHeight="1">
      <c r="A1007" s="155" t="s">
        <v>250</v>
      </c>
      <c r="B1007" s="156"/>
      <c r="C1007" s="156"/>
      <c r="D1007" s="159"/>
      <c r="E1007" s="165">
        <v>42100015</v>
      </c>
      <c r="F1007" s="248"/>
      <c r="G1007" s="166">
        <f>314014+30481+37738</f>
        <v>382233</v>
      </c>
    </row>
    <row r="1008" spans="1:7" ht="23.25" customHeight="1">
      <c r="A1008" s="155" t="s">
        <v>251</v>
      </c>
      <c r="B1008" s="156"/>
      <c r="C1008" s="156"/>
      <c r="D1008" s="159"/>
      <c r="E1008" s="165">
        <v>43100002</v>
      </c>
      <c r="F1008" s="248"/>
      <c r="G1008" s="166">
        <v>10085025</v>
      </c>
    </row>
    <row r="1009" spans="1:7" ht="23.25" customHeight="1">
      <c r="A1009" s="155" t="s">
        <v>618</v>
      </c>
      <c r="B1009" s="156"/>
      <c r="C1009" s="156"/>
      <c r="D1009" s="159"/>
      <c r="E1009" s="165">
        <v>44100001</v>
      </c>
      <c r="F1009" s="248"/>
      <c r="G1009" s="166">
        <f>27750+87000+87000</f>
        <v>201750</v>
      </c>
    </row>
    <row r="1010" spans="1:7" ht="23.25" customHeight="1">
      <c r="A1010" s="155" t="s">
        <v>45</v>
      </c>
      <c r="B1010" s="156"/>
      <c r="C1010" s="156"/>
      <c r="D1010" s="159"/>
      <c r="E1010" s="161" t="s">
        <v>619</v>
      </c>
      <c r="F1010" s="288">
        <f>5293855+23853+416400-600+24653+250100-1300</f>
        <v>6006961</v>
      </c>
      <c r="G1010" s="158"/>
    </row>
    <row r="1011" spans="1:7" ht="23.25" customHeight="1">
      <c r="A1011" s="155" t="s">
        <v>135</v>
      </c>
      <c r="B1011" s="156"/>
      <c r="C1011" s="156"/>
      <c r="D1011" s="159"/>
      <c r="E1011" s="162" t="s">
        <v>620</v>
      </c>
      <c r="F1011" s="160">
        <f>2070600+207060+207060</f>
        <v>2484720</v>
      </c>
      <c r="G1011" s="68"/>
    </row>
    <row r="1012" spans="1:7" ht="23.25" customHeight="1">
      <c r="A1012" s="155" t="s">
        <v>107</v>
      </c>
      <c r="B1012" s="156"/>
      <c r="C1012" s="156"/>
      <c r="D1012" s="159"/>
      <c r="E1012" s="162" t="s">
        <v>621</v>
      </c>
      <c r="F1012" s="160">
        <f>F927+334420-30180</f>
        <v>4011344</v>
      </c>
      <c r="G1012" s="68"/>
    </row>
    <row r="1013" spans="1:7" ht="23.25" customHeight="1">
      <c r="A1013" s="155" t="s">
        <v>93</v>
      </c>
      <c r="B1013" s="156"/>
      <c r="C1013" s="156"/>
      <c r="D1013" s="159"/>
      <c r="E1013" s="162" t="s">
        <v>621</v>
      </c>
      <c r="F1013" s="160">
        <f>134900+13760+13760</f>
        <v>162420</v>
      </c>
      <c r="G1013" s="68"/>
    </row>
    <row r="1014" spans="1:7" ht="23.25" customHeight="1">
      <c r="A1014" s="155" t="s">
        <v>33</v>
      </c>
      <c r="B1014" s="156"/>
      <c r="C1014" s="156"/>
      <c r="D1014" s="159"/>
      <c r="E1014" s="162" t="s">
        <v>621</v>
      </c>
      <c r="F1014" s="160">
        <f>1506150+159875+159875</f>
        <v>1825900</v>
      </c>
      <c r="G1014" s="68"/>
    </row>
    <row r="1015" spans="1:7" ht="23.25" customHeight="1">
      <c r="A1015" s="155" t="s">
        <v>80</v>
      </c>
      <c r="B1015" s="156"/>
      <c r="C1015" s="156"/>
      <c r="D1015" s="159"/>
      <c r="E1015" s="162" t="s">
        <v>622</v>
      </c>
      <c r="F1015" s="158">
        <f>129280.5+15200+10400</f>
        <v>154880.5</v>
      </c>
      <c r="G1015" s="68"/>
    </row>
    <row r="1016" spans="1:7" ht="23.25" customHeight="1">
      <c r="A1016" s="155" t="s">
        <v>81</v>
      </c>
      <c r="B1016" s="156"/>
      <c r="C1016" s="156"/>
      <c r="D1016" s="159"/>
      <c r="E1016" s="162" t="s">
        <v>624</v>
      </c>
      <c r="F1016" s="158">
        <f>2905073.27+193319+266065</f>
        <v>3364457.27</v>
      </c>
      <c r="G1016" s="68"/>
    </row>
    <row r="1017" spans="1:7" ht="23.25" customHeight="1">
      <c r="A1017" s="81" t="s">
        <v>83</v>
      </c>
      <c r="B1017" s="156"/>
      <c r="C1017" s="156"/>
      <c r="D1017" s="159"/>
      <c r="E1017" s="162" t="s">
        <v>623</v>
      </c>
      <c r="F1017" s="158">
        <f>1021615.27+165269.5+294540.14</f>
        <v>1481424.9100000001</v>
      </c>
      <c r="G1017" s="68"/>
    </row>
    <row r="1018" spans="1:7" ht="23.25" customHeight="1">
      <c r="A1018" s="155" t="s">
        <v>34</v>
      </c>
      <c r="B1018" s="156"/>
      <c r="C1018" s="156"/>
      <c r="D1018" s="159"/>
      <c r="E1018" s="104">
        <v>53400000</v>
      </c>
      <c r="F1018" s="158">
        <f>149507.17+5844.13+27915.33</f>
        <v>183266.63</v>
      </c>
      <c r="G1018" s="163"/>
    </row>
    <row r="1019" spans="1:7" ht="23.25" customHeight="1">
      <c r="A1019" s="155" t="s">
        <v>35</v>
      </c>
      <c r="B1019" s="156"/>
      <c r="C1019" s="156"/>
      <c r="D1019" s="159"/>
      <c r="E1019" s="153">
        <v>56100000</v>
      </c>
      <c r="F1019" s="75">
        <f>1162571.73+30000+155151.64</f>
        <v>1347723.37</v>
      </c>
      <c r="G1019" s="166"/>
    </row>
    <row r="1020" spans="1:7" ht="23.25" customHeight="1">
      <c r="A1020" s="155" t="s">
        <v>406</v>
      </c>
      <c r="B1020" s="156"/>
      <c r="C1020" s="156"/>
      <c r="D1020" s="159"/>
      <c r="E1020" s="165">
        <v>54100000</v>
      </c>
      <c r="F1020" s="75">
        <f>165100+46850+56800</f>
        <v>268750</v>
      </c>
      <c r="G1020" s="166"/>
    </row>
    <row r="1021" spans="1:7" ht="23.25" customHeight="1">
      <c r="A1021" s="155" t="s">
        <v>37</v>
      </c>
      <c r="B1021" s="156"/>
      <c r="C1021" s="156"/>
      <c r="D1021" s="159"/>
      <c r="E1021" s="165">
        <v>54200000</v>
      </c>
      <c r="F1021" s="75">
        <f>394500+444500+348500</f>
        <v>1187500</v>
      </c>
      <c r="G1021" s="166"/>
    </row>
    <row r="1022" spans="1:7" ht="23.25" customHeight="1">
      <c r="A1022" s="155" t="s">
        <v>37</v>
      </c>
      <c r="B1022" s="156"/>
      <c r="C1022" s="156"/>
      <c r="D1022" s="159"/>
      <c r="E1022" s="165">
        <v>75420000</v>
      </c>
      <c r="F1022" s="75">
        <f>27750+87000+87000</f>
        <v>201750</v>
      </c>
      <c r="G1022" s="166"/>
    </row>
    <row r="1023" spans="1:7" ht="23.25" customHeight="1">
      <c r="A1023" s="155"/>
      <c r="B1023" s="156"/>
      <c r="C1023" s="156"/>
      <c r="D1023" s="159"/>
      <c r="E1023" s="165"/>
      <c r="F1023" s="75"/>
      <c r="G1023" s="166"/>
    </row>
    <row r="1024" spans="1:7" ht="23.25" customHeight="1">
      <c r="A1024" s="155"/>
      <c r="B1024" s="156"/>
      <c r="C1024" s="156"/>
      <c r="D1024" s="159"/>
      <c r="E1024" s="165"/>
      <c r="F1024" s="75"/>
      <c r="G1024" s="166"/>
    </row>
    <row r="1025" spans="1:7" ht="23.25" customHeight="1">
      <c r="A1025" s="155"/>
      <c r="B1025" s="156"/>
      <c r="C1025" s="156"/>
      <c r="D1025" s="159"/>
      <c r="E1025" s="165"/>
      <c r="F1025" s="75"/>
      <c r="G1025" s="166"/>
    </row>
    <row r="1026" spans="1:7" ht="23.25" customHeight="1">
      <c r="A1026" s="155"/>
      <c r="B1026" s="156"/>
      <c r="C1026" s="156"/>
      <c r="D1026" s="159"/>
      <c r="E1026" s="165"/>
      <c r="F1026" s="75"/>
      <c r="G1026" s="166"/>
    </row>
    <row r="1027" spans="1:7" ht="23.25" customHeight="1">
      <c r="A1027" s="155"/>
      <c r="B1027" s="156"/>
      <c r="C1027" s="156"/>
      <c r="D1027" s="159"/>
      <c r="E1027" s="165"/>
      <c r="F1027" s="75"/>
      <c r="G1027" s="246"/>
    </row>
    <row r="1028" spans="1:9" ht="23.25" customHeight="1" thickBot="1">
      <c r="A1028" s="224"/>
      <c r="B1028" s="225"/>
      <c r="C1028" s="225"/>
      <c r="D1028" s="226"/>
      <c r="E1028" s="227"/>
      <c r="F1028" s="171">
        <f>SUM(F966:F1027)</f>
        <v>34878894.55</v>
      </c>
      <c r="G1028" s="172">
        <f>SUM(G966:G1027)</f>
        <v>34878894.55</v>
      </c>
      <c r="I1028" s="173">
        <f>F1028-G1028</f>
        <v>0</v>
      </c>
    </row>
    <row r="1029" ht="23.25" customHeight="1" thickTop="1"/>
    <row r="1033" spans="1:7" ht="23.25" customHeight="1">
      <c r="A1033" s="174" t="s">
        <v>0</v>
      </c>
      <c r="D1033" s="175" t="s">
        <v>184</v>
      </c>
      <c r="F1033" s="174" t="s">
        <v>181</v>
      </c>
      <c r="G1033" s="70"/>
    </row>
    <row r="1034" spans="1:7" ht="23.25" customHeight="1">
      <c r="A1034" s="174" t="s">
        <v>423</v>
      </c>
      <c r="D1034" s="174" t="s">
        <v>185</v>
      </c>
      <c r="F1034" s="174" t="s">
        <v>182</v>
      </c>
      <c r="G1034" s="70"/>
    </row>
    <row r="1035" spans="1:7" ht="23.25" customHeight="1">
      <c r="A1035" s="174" t="s">
        <v>424</v>
      </c>
      <c r="D1035" s="174" t="s">
        <v>186</v>
      </c>
      <c r="F1035" s="174" t="s">
        <v>183</v>
      </c>
      <c r="G1035" s="70"/>
    </row>
    <row r="1036" spans="1:7" ht="23.25" customHeight="1">
      <c r="A1036" s="174" t="s">
        <v>1</v>
      </c>
      <c r="G1036" s="70"/>
    </row>
  </sheetData>
  <sheetProtection/>
  <mergeCells count="76">
    <mergeCell ref="A961:G961"/>
    <mergeCell ref="A962:G962"/>
    <mergeCell ref="D963:F963"/>
    <mergeCell ref="A964:G964"/>
    <mergeCell ref="A965:D965"/>
    <mergeCell ref="A1004:D1004"/>
    <mergeCell ref="A623:G623"/>
    <mergeCell ref="A624:G624"/>
    <mergeCell ref="D625:F625"/>
    <mergeCell ref="A626:G626"/>
    <mergeCell ref="A627:D627"/>
    <mergeCell ref="A669:D669"/>
    <mergeCell ref="D540:F540"/>
    <mergeCell ref="A541:G541"/>
    <mergeCell ref="A247:D247"/>
    <mergeCell ref="A289:D289"/>
    <mergeCell ref="A538:G538"/>
    <mergeCell ref="A539:G539"/>
    <mergeCell ref="D287:F287"/>
    <mergeCell ref="A288:G288"/>
    <mergeCell ref="A369:G369"/>
    <mergeCell ref="A286:G286"/>
    <mergeCell ref="A125:G125"/>
    <mergeCell ref="D205:F205"/>
    <mergeCell ref="A542:D542"/>
    <mergeCell ref="A584:D584"/>
    <mergeCell ref="A203:G203"/>
    <mergeCell ref="A414:D414"/>
    <mergeCell ref="A373:D373"/>
    <mergeCell ref="A372:G372"/>
    <mergeCell ref="D371:F371"/>
    <mergeCell ref="A370:G370"/>
    <mergeCell ref="A84:D84"/>
    <mergeCell ref="A47:G47"/>
    <mergeCell ref="A45:G45"/>
    <mergeCell ref="A206:G206"/>
    <mergeCell ref="A204:G204"/>
    <mergeCell ref="A122:G122"/>
    <mergeCell ref="D124:F124"/>
    <mergeCell ref="A126:D126"/>
    <mergeCell ref="A163:D163"/>
    <mergeCell ref="A123:G123"/>
    <mergeCell ref="A2:G2"/>
    <mergeCell ref="A3:G3"/>
    <mergeCell ref="A4:G4"/>
    <mergeCell ref="A5:D5"/>
    <mergeCell ref="A44:G44"/>
    <mergeCell ref="D46:F46"/>
    <mergeCell ref="A48:D48"/>
    <mergeCell ref="A497:D497"/>
    <mergeCell ref="A207:D207"/>
    <mergeCell ref="A329:D329"/>
    <mergeCell ref="A454:G454"/>
    <mergeCell ref="D455:F455"/>
    <mergeCell ref="A456:G456"/>
    <mergeCell ref="A457:D457"/>
    <mergeCell ref="A453:G453"/>
    <mergeCell ref="A285:G285"/>
    <mergeCell ref="A709:G709"/>
    <mergeCell ref="A710:G710"/>
    <mergeCell ref="D711:F711"/>
    <mergeCell ref="A712:G712"/>
    <mergeCell ref="A713:D713"/>
    <mergeCell ref="A752:D752"/>
    <mergeCell ref="A794:G794"/>
    <mergeCell ref="A795:G795"/>
    <mergeCell ref="D796:F796"/>
    <mergeCell ref="A797:G797"/>
    <mergeCell ref="A798:D798"/>
    <mergeCell ref="A837:D837"/>
    <mergeCell ref="A877:G877"/>
    <mergeCell ref="A878:G878"/>
    <mergeCell ref="D879:F879"/>
    <mergeCell ref="A880:G880"/>
    <mergeCell ref="A881:D881"/>
    <mergeCell ref="A920:D920"/>
  </mergeCells>
  <printOptions/>
  <pageMargins left="0.7" right="0" top="0.42" bottom="0.3937007874015748" header="0" footer="0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5"/>
  <sheetViews>
    <sheetView tabSelected="1" view="pageBreakPreview" zoomScaleSheetLayoutView="100" zoomScalePageLayoutView="0" workbookViewId="0" topLeftCell="A1079">
      <selection activeCell="F1096" sqref="F1096"/>
    </sheetView>
  </sheetViews>
  <sheetFormatPr defaultColWidth="9.140625" defaultRowHeight="20.25" customHeight="1"/>
  <cols>
    <col min="1" max="1" width="2.57421875" style="7" customWidth="1"/>
    <col min="2" max="2" width="42.8515625" style="7" customWidth="1"/>
    <col min="3" max="3" width="15.00390625" style="188" customWidth="1"/>
    <col min="4" max="4" width="14.00390625" style="7" customWidth="1"/>
    <col min="5" max="5" width="15.00390625" style="7" customWidth="1"/>
    <col min="6" max="6" width="14.7109375" style="188" customWidth="1"/>
    <col min="7" max="7" width="6.8515625" style="7" customWidth="1"/>
    <col min="8" max="8" width="13.57421875" style="188" bestFit="1" customWidth="1"/>
    <col min="9" max="10" width="14.8515625" style="188" customWidth="1"/>
    <col min="11" max="11" width="19.140625" style="7" customWidth="1"/>
    <col min="12" max="12" width="12.421875" style="7" bestFit="1" customWidth="1"/>
    <col min="13" max="16384" width="9.140625" style="7" customWidth="1"/>
  </cols>
  <sheetData>
    <row r="1" spans="2:6" ht="20.25" customHeight="1">
      <c r="B1" s="343" t="s">
        <v>112</v>
      </c>
      <c r="C1" s="343"/>
      <c r="D1" s="343"/>
      <c r="E1" s="343"/>
      <c r="F1" s="343"/>
    </row>
    <row r="2" spans="2:6" ht="20.25" customHeight="1">
      <c r="B2" s="8"/>
      <c r="C2" s="8"/>
      <c r="D2" s="8"/>
      <c r="E2" s="8"/>
      <c r="F2" s="8"/>
    </row>
    <row r="3" spans="2:6" ht="20.25" customHeight="1">
      <c r="B3" s="146" t="s">
        <v>123</v>
      </c>
      <c r="C3" s="344" t="s">
        <v>203</v>
      </c>
      <c r="D3" s="344"/>
      <c r="E3" s="176"/>
      <c r="F3" s="177"/>
    </row>
    <row r="4" spans="2:6" ht="20.25" customHeight="1">
      <c r="B4" s="9" t="s">
        <v>78</v>
      </c>
      <c r="C4" s="178" t="s">
        <v>113</v>
      </c>
      <c r="D4" s="9" t="s">
        <v>109</v>
      </c>
      <c r="E4" s="9" t="s">
        <v>111</v>
      </c>
      <c r="F4" s="179" t="s">
        <v>114</v>
      </c>
    </row>
    <row r="5" spans="1:6" ht="20.25" customHeight="1">
      <c r="A5" s="10"/>
      <c r="B5" s="11" t="s">
        <v>110</v>
      </c>
      <c r="C5" s="180">
        <v>407040</v>
      </c>
      <c r="D5" s="12"/>
      <c r="E5" s="181"/>
      <c r="F5" s="12">
        <f>C5+D5-E5</f>
        <v>407040</v>
      </c>
    </row>
    <row r="6" spans="1:7" ht="20.25" customHeight="1">
      <c r="A6" s="10"/>
      <c r="B6" s="13" t="s">
        <v>77</v>
      </c>
      <c r="C6" s="182">
        <v>228784.22</v>
      </c>
      <c r="D6" s="14"/>
      <c r="E6" s="183"/>
      <c r="F6" s="14">
        <f aca="true" t="shared" si="0" ref="F6:F20">C6+D6-E6</f>
        <v>228784.22</v>
      </c>
      <c r="G6" s="145"/>
    </row>
    <row r="7" spans="1:6" ht="20.25" customHeight="1">
      <c r="A7" s="10"/>
      <c r="B7" s="13" t="s">
        <v>15</v>
      </c>
      <c r="C7" s="182">
        <v>6988.19</v>
      </c>
      <c r="D7" s="14">
        <v>5599.5</v>
      </c>
      <c r="E7" s="183">
        <v>6988.19</v>
      </c>
      <c r="F7" s="14">
        <f t="shared" si="0"/>
        <v>5599.499999999999</v>
      </c>
    </row>
    <row r="8" spans="1:6" ht="20.25" customHeight="1">
      <c r="A8" s="10"/>
      <c r="B8" s="13" t="s">
        <v>16</v>
      </c>
      <c r="C8" s="182">
        <v>5647.41</v>
      </c>
      <c r="D8" s="14"/>
      <c r="E8" s="183"/>
      <c r="F8" s="14">
        <f t="shared" si="0"/>
        <v>5647.41</v>
      </c>
    </row>
    <row r="9" spans="1:6" ht="20.25" customHeight="1">
      <c r="A9" s="10"/>
      <c r="B9" s="13" t="s">
        <v>17</v>
      </c>
      <c r="C9" s="182">
        <v>2842.38</v>
      </c>
      <c r="D9" s="14"/>
      <c r="E9" s="183"/>
      <c r="F9" s="14">
        <f t="shared" si="0"/>
        <v>2842.38</v>
      </c>
    </row>
    <row r="10" spans="1:6" ht="20.25" customHeight="1">
      <c r="A10" s="10"/>
      <c r="B10" s="13" t="s">
        <v>141</v>
      </c>
      <c r="C10" s="182">
        <v>225</v>
      </c>
      <c r="D10" s="14"/>
      <c r="E10" s="183"/>
      <c r="F10" s="14">
        <f t="shared" si="0"/>
        <v>225</v>
      </c>
    </row>
    <row r="11" spans="1:6" ht="20.25" customHeight="1">
      <c r="A11" s="10"/>
      <c r="B11" s="13" t="s">
        <v>140</v>
      </c>
      <c r="C11" s="182">
        <v>110.69</v>
      </c>
      <c r="D11" s="14"/>
      <c r="E11" s="183"/>
      <c r="F11" s="14">
        <f t="shared" si="0"/>
        <v>110.69</v>
      </c>
    </row>
    <row r="12" spans="1:6" ht="20.25" customHeight="1">
      <c r="A12" s="10"/>
      <c r="B12" s="72" t="s">
        <v>204</v>
      </c>
      <c r="C12" s="14">
        <v>13000</v>
      </c>
      <c r="D12" s="14"/>
      <c r="E12" s="183"/>
      <c r="F12" s="14">
        <f t="shared" si="0"/>
        <v>13000</v>
      </c>
    </row>
    <row r="13" spans="1:6" ht="20.25" customHeight="1">
      <c r="A13" s="10"/>
      <c r="B13" s="13" t="s">
        <v>205</v>
      </c>
      <c r="C13" s="182">
        <v>150500</v>
      </c>
      <c r="D13" s="14"/>
      <c r="E13" s="183"/>
      <c r="F13" s="14">
        <f t="shared" si="0"/>
        <v>150500</v>
      </c>
    </row>
    <row r="14" spans="1:6" ht="20.25" customHeight="1">
      <c r="A14" s="10"/>
      <c r="B14" s="13" t="s">
        <v>206</v>
      </c>
      <c r="C14" s="182">
        <v>14400</v>
      </c>
      <c r="D14" s="14"/>
      <c r="E14" s="183"/>
      <c r="F14" s="14">
        <f t="shared" si="0"/>
        <v>14400</v>
      </c>
    </row>
    <row r="15" spans="1:6" ht="20.25" customHeight="1">
      <c r="A15" s="10"/>
      <c r="B15" s="13" t="s">
        <v>207</v>
      </c>
      <c r="C15" s="182">
        <v>743.25</v>
      </c>
      <c r="D15" s="14"/>
      <c r="E15" s="183"/>
      <c r="F15" s="14">
        <f t="shared" si="0"/>
        <v>743.25</v>
      </c>
    </row>
    <row r="16" spans="1:6" ht="20.25" customHeight="1">
      <c r="A16" s="10"/>
      <c r="B16" s="13" t="s">
        <v>168</v>
      </c>
      <c r="C16" s="184"/>
      <c r="D16" s="14">
        <v>7213</v>
      </c>
      <c r="E16" s="183"/>
      <c r="F16" s="14">
        <f t="shared" si="0"/>
        <v>7213</v>
      </c>
    </row>
    <row r="17" spans="1:6" ht="20.25" customHeight="1">
      <c r="A17" s="10"/>
      <c r="B17" s="13" t="s">
        <v>223</v>
      </c>
      <c r="C17" s="184"/>
      <c r="D17" s="14">
        <v>81086</v>
      </c>
      <c r="E17" s="209">
        <v>81086</v>
      </c>
      <c r="F17" s="14">
        <f t="shared" si="0"/>
        <v>0</v>
      </c>
    </row>
    <row r="18" spans="1:6" ht="20.25" customHeight="1">
      <c r="A18" s="10"/>
      <c r="B18" s="13" t="s">
        <v>224</v>
      </c>
      <c r="C18" s="184"/>
      <c r="D18" s="14">
        <v>63100</v>
      </c>
      <c r="E18" s="209">
        <v>63100</v>
      </c>
      <c r="F18" s="14">
        <f t="shared" si="0"/>
        <v>0</v>
      </c>
    </row>
    <row r="19" spans="1:6" ht="20.25" customHeight="1">
      <c r="A19" s="10"/>
      <c r="B19" s="13" t="s">
        <v>225</v>
      </c>
      <c r="C19" s="184"/>
      <c r="D19" s="14">
        <v>29388</v>
      </c>
      <c r="E19" s="209">
        <v>29388</v>
      </c>
      <c r="F19" s="14">
        <f t="shared" si="0"/>
        <v>0</v>
      </c>
    </row>
    <row r="20" spans="1:6" ht="20.25" customHeight="1">
      <c r="A20" s="10"/>
      <c r="B20" s="13" t="s">
        <v>226</v>
      </c>
      <c r="C20" s="184"/>
      <c r="D20" s="14">
        <v>22027</v>
      </c>
      <c r="E20" s="209">
        <v>22027</v>
      </c>
      <c r="F20" s="191">
        <f t="shared" si="0"/>
        <v>0</v>
      </c>
    </row>
    <row r="21" spans="1:11" ht="20.25" customHeight="1" thickBot="1">
      <c r="A21" s="10"/>
      <c r="B21" s="208" t="s">
        <v>46</v>
      </c>
      <c r="C21" s="15">
        <f>SUM(C5:C16)</f>
        <v>830281.1399999999</v>
      </c>
      <c r="D21" s="15">
        <f>SUM(D5:D20)</f>
        <v>208413.5</v>
      </c>
      <c r="E21" s="186">
        <f>SUM(E5:E20)</f>
        <v>202589.19</v>
      </c>
      <c r="F21" s="192">
        <f>SUM(F5:F16)</f>
        <v>836105.45</v>
      </c>
      <c r="K21" s="187"/>
    </row>
    <row r="22" ht="20.25" customHeight="1" thickTop="1">
      <c r="A22" s="10"/>
    </row>
    <row r="23" spans="1:6" ht="20.25" customHeight="1">
      <c r="A23" s="10"/>
      <c r="B23" s="146" t="s">
        <v>18</v>
      </c>
      <c r="C23" s="344" t="s">
        <v>208</v>
      </c>
      <c r="D23" s="344"/>
      <c r="E23" s="176"/>
      <c r="F23" s="177"/>
    </row>
    <row r="24" spans="1:6" ht="20.25" customHeight="1">
      <c r="A24" s="10"/>
      <c r="B24" s="9" t="s">
        <v>78</v>
      </c>
      <c r="C24" s="178" t="s">
        <v>113</v>
      </c>
      <c r="D24" s="9" t="s">
        <v>109</v>
      </c>
      <c r="E24" s="9" t="s">
        <v>111</v>
      </c>
      <c r="F24" s="178" t="s">
        <v>114</v>
      </c>
    </row>
    <row r="25" spans="1:6" ht="20.25" customHeight="1">
      <c r="A25" s="10"/>
      <c r="B25" s="189" t="s">
        <v>209</v>
      </c>
      <c r="C25" s="182">
        <v>49500</v>
      </c>
      <c r="D25" s="190"/>
      <c r="E25" s="182">
        <v>49500</v>
      </c>
      <c r="F25" s="14">
        <f>C25-E25</f>
        <v>0</v>
      </c>
    </row>
    <row r="26" spans="1:6" ht="20.25" customHeight="1">
      <c r="A26" s="10"/>
      <c r="B26" s="189" t="s">
        <v>210</v>
      </c>
      <c r="C26" s="182">
        <v>215000</v>
      </c>
      <c r="D26" s="190"/>
      <c r="E26" s="182"/>
      <c r="F26" s="14">
        <f aca="true" t="shared" si="1" ref="F26:F40">C26-E26</f>
        <v>215000</v>
      </c>
    </row>
    <row r="27" spans="1:6" ht="20.25" customHeight="1">
      <c r="A27" s="10"/>
      <c r="B27" s="189" t="s">
        <v>211</v>
      </c>
      <c r="C27" s="182">
        <v>170000</v>
      </c>
      <c r="D27" s="190"/>
      <c r="E27" s="182"/>
      <c r="F27" s="14">
        <f t="shared" si="1"/>
        <v>170000</v>
      </c>
    </row>
    <row r="28" spans="1:6" ht="20.25" customHeight="1">
      <c r="A28" s="10"/>
      <c r="B28" s="189" t="s">
        <v>212</v>
      </c>
      <c r="C28" s="182">
        <v>159000</v>
      </c>
      <c r="D28" s="190"/>
      <c r="E28" s="182">
        <v>159000</v>
      </c>
      <c r="F28" s="14">
        <f t="shared" si="1"/>
        <v>0</v>
      </c>
    </row>
    <row r="29" spans="1:6" ht="20.25" customHeight="1">
      <c r="A29" s="10"/>
      <c r="B29" s="189" t="s">
        <v>213</v>
      </c>
      <c r="C29" s="182">
        <v>149000</v>
      </c>
      <c r="D29" s="190"/>
      <c r="E29" s="182"/>
      <c r="F29" s="14">
        <f t="shared" si="1"/>
        <v>149000</v>
      </c>
    </row>
    <row r="30" spans="1:6" ht="20.25" customHeight="1">
      <c r="A30" s="10"/>
      <c r="B30" s="189" t="s">
        <v>214</v>
      </c>
      <c r="C30" s="182">
        <v>94500</v>
      </c>
      <c r="D30" s="190"/>
      <c r="E30" s="182"/>
      <c r="F30" s="14">
        <f t="shared" si="1"/>
        <v>94500</v>
      </c>
    </row>
    <row r="31" spans="1:6" ht="20.25" customHeight="1">
      <c r="A31" s="10"/>
      <c r="B31" s="189" t="s">
        <v>215</v>
      </c>
      <c r="C31" s="182">
        <v>149000</v>
      </c>
      <c r="D31" s="190"/>
      <c r="E31" s="182"/>
      <c r="F31" s="14">
        <f t="shared" si="1"/>
        <v>149000</v>
      </c>
    </row>
    <row r="32" spans="1:6" ht="20.25" customHeight="1">
      <c r="A32" s="10"/>
      <c r="B32" s="13" t="s">
        <v>222</v>
      </c>
      <c r="C32" s="14">
        <v>198000</v>
      </c>
      <c r="D32" s="190"/>
      <c r="E32" s="182">
        <v>198000</v>
      </c>
      <c r="F32" s="14">
        <f t="shared" si="1"/>
        <v>0</v>
      </c>
    </row>
    <row r="33" spans="1:6" ht="20.25" customHeight="1">
      <c r="A33" s="10"/>
      <c r="B33" s="189" t="s">
        <v>216</v>
      </c>
      <c r="C33" s="182">
        <v>28500</v>
      </c>
      <c r="D33" s="190"/>
      <c r="E33" s="182">
        <v>28500</v>
      </c>
      <c r="F33" s="14">
        <f t="shared" si="1"/>
        <v>0</v>
      </c>
    </row>
    <row r="34" spans="1:6" ht="20.25" customHeight="1">
      <c r="A34" s="10"/>
      <c r="B34" s="189" t="s">
        <v>217</v>
      </c>
      <c r="C34" s="182">
        <v>40000</v>
      </c>
      <c r="D34" s="14"/>
      <c r="E34" s="182">
        <v>40000</v>
      </c>
      <c r="F34" s="14">
        <f t="shared" si="1"/>
        <v>0</v>
      </c>
    </row>
    <row r="35" spans="1:6" ht="20.25" customHeight="1">
      <c r="A35" s="10"/>
      <c r="B35" s="189" t="s">
        <v>187</v>
      </c>
      <c r="C35" s="182">
        <v>8488.2</v>
      </c>
      <c r="D35" s="14"/>
      <c r="E35" s="182"/>
      <c r="F35" s="14">
        <f t="shared" si="1"/>
        <v>8488.2</v>
      </c>
    </row>
    <row r="36" spans="1:6" ht="20.25" customHeight="1">
      <c r="A36" s="10"/>
      <c r="B36" s="189" t="s">
        <v>187</v>
      </c>
      <c r="C36" s="182">
        <v>8914.8</v>
      </c>
      <c r="D36" s="14"/>
      <c r="E36" s="182"/>
      <c r="F36" s="14">
        <f t="shared" si="1"/>
        <v>8914.8</v>
      </c>
    </row>
    <row r="37" spans="1:6" ht="20.25" customHeight="1">
      <c r="A37" s="10"/>
      <c r="B37" s="189" t="s">
        <v>218</v>
      </c>
      <c r="C37" s="182">
        <v>94000</v>
      </c>
      <c r="D37" s="14"/>
      <c r="E37" s="182"/>
      <c r="F37" s="14">
        <f t="shared" si="1"/>
        <v>94000</v>
      </c>
    </row>
    <row r="38" spans="1:6" ht="20.25" customHeight="1">
      <c r="A38" s="10"/>
      <c r="B38" s="189" t="s">
        <v>219</v>
      </c>
      <c r="C38" s="182">
        <v>110000</v>
      </c>
      <c r="D38" s="14"/>
      <c r="E38" s="182"/>
      <c r="F38" s="14">
        <f t="shared" si="1"/>
        <v>110000</v>
      </c>
    </row>
    <row r="39" spans="1:6" ht="20.25" customHeight="1">
      <c r="A39" s="10"/>
      <c r="B39" s="189" t="s">
        <v>220</v>
      </c>
      <c r="C39" s="182">
        <v>45000</v>
      </c>
      <c r="D39" s="14"/>
      <c r="E39" s="182"/>
      <c r="F39" s="14">
        <f t="shared" si="1"/>
        <v>45000</v>
      </c>
    </row>
    <row r="40" spans="1:6" ht="20.25" customHeight="1">
      <c r="A40" s="10"/>
      <c r="B40" s="189" t="s">
        <v>221</v>
      </c>
      <c r="C40" s="182">
        <v>4800</v>
      </c>
      <c r="D40" s="14"/>
      <c r="E40" s="182"/>
      <c r="F40" s="14">
        <f t="shared" si="1"/>
        <v>4800</v>
      </c>
    </row>
    <row r="41" spans="1:6" ht="20.25" customHeight="1" thickBot="1">
      <c r="A41" s="10"/>
      <c r="B41" s="185" t="s">
        <v>46</v>
      </c>
      <c r="C41" s="15">
        <f>SUM(C25:C40)</f>
        <v>1523703</v>
      </c>
      <c r="D41" s="15">
        <f>SUM(D34:D39)</f>
        <v>0</v>
      </c>
      <c r="E41" s="186">
        <f>SUM(E25:E40)</f>
        <v>475000</v>
      </c>
      <c r="F41" s="178">
        <f>SUM(F25:F40)</f>
        <v>1048703</v>
      </c>
    </row>
    <row r="42" spans="1:6" ht="20.25" customHeight="1" thickTop="1">
      <c r="A42" s="10"/>
      <c r="B42" s="343" t="s">
        <v>112</v>
      </c>
      <c r="C42" s="343"/>
      <c r="D42" s="343"/>
      <c r="E42" s="343"/>
      <c r="F42" s="343"/>
    </row>
    <row r="43" spans="1:6" ht="20.25" customHeight="1">
      <c r="A43" s="10"/>
      <c r="B43" s="8"/>
      <c r="C43" s="8"/>
      <c r="D43" s="8"/>
      <c r="E43" s="8"/>
      <c r="F43" s="8"/>
    </row>
    <row r="44" spans="2:6" ht="20.25" customHeight="1">
      <c r="B44" s="146" t="s">
        <v>123</v>
      </c>
      <c r="C44" s="344" t="s">
        <v>382</v>
      </c>
      <c r="D44" s="344"/>
      <c r="E44" s="176"/>
      <c r="F44" s="177"/>
    </row>
    <row r="45" spans="2:6" ht="20.25" customHeight="1">
      <c r="B45" s="9" t="s">
        <v>78</v>
      </c>
      <c r="C45" s="178" t="s">
        <v>113</v>
      </c>
      <c r="D45" s="9" t="s">
        <v>109</v>
      </c>
      <c r="E45" s="9" t="s">
        <v>111</v>
      </c>
      <c r="F45" s="179" t="s">
        <v>114</v>
      </c>
    </row>
    <row r="46" spans="2:6" ht="20.25" customHeight="1">
      <c r="B46" s="11" t="s">
        <v>110</v>
      </c>
      <c r="C46" s="180">
        <v>407040</v>
      </c>
      <c r="D46" s="12">
        <v>24450</v>
      </c>
      <c r="E46" s="181">
        <v>16050</v>
      </c>
      <c r="F46" s="12">
        <f>C46+D46-E46</f>
        <v>415440</v>
      </c>
    </row>
    <row r="47" spans="2:6" ht="20.25" customHeight="1">
      <c r="B47" s="13" t="s">
        <v>77</v>
      </c>
      <c r="C47" s="182">
        <v>228784.22</v>
      </c>
      <c r="D47" s="14">
        <v>100000</v>
      </c>
      <c r="E47" s="183">
        <v>100000</v>
      </c>
      <c r="F47" s="14">
        <f aca="true" t="shared" si="2" ref="F47:F62">C47+D47-E47</f>
        <v>228784.21999999997</v>
      </c>
    </row>
    <row r="48" spans="2:6" ht="20.25" customHeight="1">
      <c r="B48" s="13" t="s">
        <v>15</v>
      </c>
      <c r="C48" s="182">
        <v>5599.5</v>
      </c>
      <c r="D48" s="14">
        <v>4923.02</v>
      </c>
      <c r="E48" s="183">
        <v>5599.5</v>
      </c>
      <c r="F48" s="14">
        <f t="shared" si="2"/>
        <v>4923.02</v>
      </c>
    </row>
    <row r="49" spans="2:6" ht="20.25" customHeight="1">
      <c r="B49" s="13" t="s">
        <v>16</v>
      </c>
      <c r="C49" s="182">
        <v>5647.41</v>
      </c>
      <c r="D49" s="14"/>
      <c r="E49" s="183"/>
      <c r="F49" s="14">
        <f t="shared" si="2"/>
        <v>5647.41</v>
      </c>
    </row>
    <row r="50" spans="2:6" ht="20.25" customHeight="1">
      <c r="B50" s="13" t="s">
        <v>17</v>
      </c>
      <c r="C50" s="182">
        <v>2842.38</v>
      </c>
      <c r="D50" s="14"/>
      <c r="E50" s="183"/>
      <c r="F50" s="14">
        <f t="shared" si="2"/>
        <v>2842.38</v>
      </c>
    </row>
    <row r="51" spans="2:6" ht="20.25" customHeight="1">
      <c r="B51" s="13" t="s">
        <v>141</v>
      </c>
      <c r="C51" s="182">
        <v>225</v>
      </c>
      <c r="D51" s="14"/>
      <c r="E51" s="183"/>
      <c r="F51" s="14">
        <f t="shared" si="2"/>
        <v>225</v>
      </c>
    </row>
    <row r="52" spans="2:6" ht="20.25" customHeight="1">
      <c r="B52" s="13" t="s">
        <v>140</v>
      </c>
      <c r="C52" s="182">
        <v>110.69</v>
      </c>
      <c r="D52" s="14"/>
      <c r="E52" s="183"/>
      <c r="F52" s="14">
        <f t="shared" si="2"/>
        <v>110.69</v>
      </c>
    </row>
    <row r="53" spans="2:6" ht="20.25" customHeight="1">
      <c r="B53" s="72" t="s">
        <v>204</v>
      </c>
      <c r="C53" s="14">
        <v>13000</v>
      </c>
      <c r="D53" s="14"/>
      <c r="E53" s="183"/>
      <c r="F53" s="14">
        <f t="shared" si="2"/>
        <v>13000</v>
      </c>
    </row>
    <row r="54" spans="2:6" ht="20.25" customHeight="1">
      <c r="B54" s="13" t="s">
        <v>205</v>
      </c>
      <c r="C54" s="182">
        <v>150500</v>
      </c>
      <c r="D54" s="14"/>
      <c r="E54" s="183"/>
      <c r="F54" s="14">
        <f t="shared" si="2"/>
        <v>150500</v>
      </c>
    </row>
    <row r="55" spans="2:6" ht="20.25" customHeight="1">
      <c r="B55" s="13" t="s">
        <v>206</v>
      </c>
      <c r="C55" s="182">
        <v>14400</v>
      </c>
      <c r="D55" s="14"/>
      <c r="E55" s="183"/>
      <c r="F55" s="14">
        <f t="shared" si="2"/>
        <v>14400</v>
      </c>
    </row>
    <row r="56" spans="2:6" ht="20.25" customHeight="1">
      <c r="B56" s="13" t="s">
        <v>207</v>
      </c>
      <c r="C56" s="182">
        <v>743.25</v>
      </c>
      <c r="D56" s="14"/>
      <c r="E56" s="183"/>
      <c r="F56" s="14">
        <f t="shared" si="2"/>
        <v>743.25</v>
      </c>
    </row>
    <row r="57" spans="2:6" ht="20.25" customHeight="1">
      <c r="B57" s="13" t="s">
        <v>168</v>
      </c>
      <c r="C57" s="184">
        <v>7213</v>
      </c>
      <c r="D57" s="14">
        <v>6713</v>
      </c>
      <c r="E57" s="183">
        <v>13926</v>
      </c>
      <c r="F57" s="14">
        <f t="shared" si="2"/>
        <v>0</v>
      </c>
    </row>
    <row r="58" spans="2:6" ht="20.25" customHeight="1">
      <c r="B58" s="13" t="s">
        <v>175</v>
      </c>
      <c r="C58" s="184"/>
      <c r="D58" s="14">
        <v>429650</v>
      </c>
      <c r="E58" s="183">
        <v>0</v>
      </c>
      <c r="F58" s="14">
        <f t="shared" si="2"/>
        <v>429650</v>
      </c>
    </row>
    <row r="59" spans="2:6" ht="20.25" customHeight="1">
      <c r="B59" s="13" t="s">
        <v>223</v>
      </c>
      <c r="C59" s="184"/>
      <c r="D59" s="14">
        <v>54466</v>
      </c>
      <c r="E59" s="209">
        <v>54466</v>
      </c>
      <c r="F59" s="14">
        <f t="shared" si="2"/>
        <v>0</v>
      </c>
    </row>
    <row r="60" spans="2:6" ht="20.25" customHeight="1">
      <c r="B60" s="13" t="s">
        <v>224</v>
      </c>
      <c r="C60" s="184"/>
      <c r="D60" s="14">
        <v>63100</v>
      </c>
      <c r="E60" s="209">
        <v>63100</v>
      </c>
      <c r="F60" s="14">
        <f t="shared" si="2"/>
        <v>0</v>
      </c>
    </row>
    <row r="61" spans="2:6" ht="20.25" customHeight="1">
      <c r="B61" s="13" t="s">
        <v>225</v>
      </c>
      <c r="C61" s="184"/>
      <c r="D61" s="14">
        <v>51250</v>
      </c>
      <c r="E61" s="209">
        <v>51250</v>
      </c>
      <c r="F61" s="14">
        <f t="shared" si="2"/>
        <v>0</v>
      </c>
    </row>
    <row r="62" spans="2:6" ht="20.25" customHeight="1">
      <c r="B62" s="13" t="s">
        <v>226</v>
      </c>
      <c r="C62" s="184"/>
      <c r="D62" s="14">
        <v>22027</v>
      </c>
      <c r="E62" s="209">
        <v>22027</v>
      </c>
      <c r="F62" s="191">
        <f t="shared" si="2"/>
        <v>0</v>
      </c>
    </row>
    <row r="63" spans="2:6" ht="20.25" customHeight="1" thickBot="1">
      <c r="B63" s="208" t="s">
        <v>46</v>
      </c>
      <c r="C63" s="15">
        <f>SUM(C46:C57)</f>
        <v>836105.45</v>
      </c>
      <c r="D63" s="15">
        <f>SUM(D46:D62)</f>
        <v>756579.02</v>
      </c>
      <c r="E63" s="186">
        <f>SUM(E46:E62)</f>
        <v>326418.5</v>
      </c>
      <c r="F63" s="192">
        <f>SUM(F46:F62)</f>
        <v>1266265.97</v>
      </c>
    </row>
    <row r="64" ht="20.25" customHeight="1" thickTop="1"/>
    <row r="65" spans="2:6" ht="20.25" customHeight="1">
      <c r="B65" s="146" t="s">
        <v>18</v>
      </c>
      <c r="C65" s="344" t="s">
        <v>382</v>
      </c>
      <c r="D65" s="344"/>
      <c r="E65" s="176"/>
      <c r="F65" s="177"/>
    </row>
    <row r="66" spans="2:6" ht="20.25" customHeight="1">
      <c r="B66" s="9" t="s">
        <v>78</v>
      </c>
      <c r="C66" s="178" t="s">
        <v>113</v>
      </c>
      <c r="D66" s="9" t="s">
        <v>109</v>
      </c>
      <c r="E66" s="9" t="s">
        <v>111</v>
      </c>
      <c r="F66" s="178" t="s">
        <v>114</v>
      </c>
    </row>
    <row r="67" spans="2:6" ht="25.5" customHeight="1">
      <c r="B67" s="189" t="s">
        <v>210</v>
      </c>
      <c r="C67" s="182">
        <v>215000</v>
      </c>
      <c r="D67" s="190"/>
      <c r="E67" s="182"/>
      <c r="F67" s="14">
        <f aca="true" t="shared" si="3" ref="F67:F77">C67-E67</f>
        <v>215000</v>
      </c>
    </row>
    <row r="68" spans="2:6" ht="20.25" customHeight="1">
      <c r="B68" s="189" t="s">
        <v>211</v>
      </c>
      <c r="C68" s="182">
        <v>170000</v>
      </c>
      <c r="D68" s="190"/>
      <c r="E68" s="182"/>
      <c r="F68" s="14">
        <f t="shared" si="3"/>
        <v>170000</v>
      </c>
    </row>
    <row r="69" spans="2:6" ht="20.25" customHeight="1">
      <c r="B69" s="189" t="s">
        <v>213</v>
      </c>
      <c r="C69" s="182">
        <v>149000</v>
      </c>
      <c r="D69" s="190"/>
      <c r="E69" s="182"/>
      <c r="F69" s="14">
        <f t="shared" si="3"/>
        <v>149000</v>
      </c>
    </row>
    <row r="70" spans="2:6" ht="20.25" customHeight="1">
      <c r="B70" s="189" t="s">
        <v>214</v>
      </c>
      <c r="C70" s="182">
        <v>94500</v>
      </c>
      <c r="D70" s="190"/>
      <c r="E70" s="182"/>
      <c r="F70" s="14">
        <f t="shared" si="3"/>
        <v>94500</v>
      </c>
    </row>
    <row r="71" spans="2:6" ht="20.25" customHeight="1">
      <c r="B71" s="189" t="s">
        <v>215</v>
      </c>
      <c r="C71" s="182">
        <v>149000</v>
      </c>
      <c r="D71" s="190"/>
      <c r="E71" s="182"/>
      <c r="F71" s="14">
        <f t="shared" si="3"/>
        <v>149000</v>
      </c>
    </row>
    <row r="72" spans="2:6" ht="20.25" customHeight="1">
      <c r="B72" s="189" t="s">
        <v>187</v>
      </c>
      <c r="C72" s="182">
        <v>8488.2</v>
      </c>
      <c r="D72" s="14"/>
      <c r="E72" s="182"/>
      <c r="F72" s="14">
        <f t="shared" si="3"/>
        <v>8488.2</v>
      </c>
    </row>
    <row r="73" spans="2:6" ht="20.25" customHeight="1">
      <c r="B73" s="189" t="s">
        <v>187</v>
      </c>
      <c r="C73" s="182">
        <v>8914.8</v>
      </c>
      <c r="D73" s="14"/>
      <c r="E73" s="182"/>
      <c r="F73" s="14">
        <f t="shared" si="3"/>
        <v>8914.8</v>
      </c>
    </row>
    <row r="74" spans="2:6" ht="20.25" customHeight="1">
      <c r="B74" s="189" t="s">
        <v>218</v>
      </c>
      <c r="C74" s="182">
        <v>94000</v>
      </c>
      <c r="D74" s="14"/>
      <c r="E74" s="182">
        <v>94000</v>
      </c>
      <c r="F74" s="14">
        <f t="shared" si="3"/>
        <v>0</v>
      </c>
    </row>
    <row r="75" spans="2:6" ht="20.25" customHeight="1">
      <c r="B75" s="189" t="s">
        <v>219</v>
      </c>
      <c r="C75" s="182">
        <v>110000</v>
      </c>
      <c r="D75" s="14"/>
      <c r="E75" s="182">
        <v>110000</v>
      </c>
      <c r="F75" s="14">
        <f t="shared" si="3"/>
        <v>0</v>
      </c>
    </row>
    <row r="76" spans="2:6" ht="20.25" customHeight="1">
      <c r="B76" s="189" t="s">
        <v>220</v>
      </c>
      <c r="C76" s="182">
        <v>45000</v>
      </c>
      <c r="D76" s="14"/>
      <c r="E76" s="182">
        <v>45000</v>
      </c>
      <c r="F76" s="14">
        <f t="shared" si="3"/>
        <v>0</v>
      </c>
    </row>
    <row r="77" spans="2:6" ht="20.25" customHeight="1">
      <c r="B77" s="189" t="s">
        <v>221</v>
      </c>
      <c r="C77" s="182">
        <v>4800</v>
      </c>
      <c r="D77" s="14"/>
      <c r="E77" s="182">
        <v>4800</v>
      </c>
      <c r="F77" s="14">
        <f t="shared" si="3"/>
        <v>0</v>
      </c>
    </row>
    <row r="78" spans="2:6" ht="20.25" customHeight="1" thickBot="1">
      <c r="B78" s="185" t="s">
        <v>46</v>
      </c>
      <c r="C78" s="15">
        <f>SUM(C67:C77)</f>
        <v>1048703</v>
      </c>
      <c r="D78" s="15">
        <f>SUM(D72:D76)</f>
        <v>0</v>
      </c>
      <c r="E78" s="186">
        <f>SUM(E67:E77)</f>
        <v>253800</v>
      </c>
      <c r="F78" s="178">
        <f>SUM(F67:F77)</f>
        <v>794903</v>
      </c>
    </row>
    <row r="79" spans="2:6" ht="20.25" customHeight="1" thickTop="1">
      <c r="B79" s="145"/>
      <c r="D79" s="182"/>
      <c r="E79" s="182"/>
      <c r="F79" s="194"/>
    </row>
    <row r="80" spans="2:6" ht="20.25" customHeight="1">
      <c r="B80" s="145"/>
      <c r="D80" s="182"/>
      <c r="E80" s="182"/>
      <c r="F80" s="194"/>
    </row>
    <row r="81" spans="2:6" ht="20.25" customHeight="1">
      <c r="B81" s="145"/>
      <c r="D81" s="182"/>
      <c r="E81" s="182"/>
      <c r="F81" s="194"/>
    </row>
    <row r="82" spans="2:6" ht="20.25" customHeight="1">
      <c r="B82" s="145"/>
      <c r="D82" s="182"/>
      <c r="E82" s="182"/>
      <c r="F82" s="194"/>
    </row>
    <row r="83" spans="2:6" ht="20.25" customHeight="1">
      <c r="B83" s="343" t="s">
        <v>112</v>
      </c>
      <c r="C83" s="343"/>
      <c r="D83" s="343"/>
      <c r="E83" s="343"/>
      <c r="F83" s="343"/>
    </row>
    <row r="84" spans="2:6" ht="20.25" customHeight="1">
      <c r="B84" s="8"/>
      <c r="C84" s="8"/>
      <c r="D84" s="8"/>
      <c r="E84" s="8"/>
      <c r="F84" s="8"/>
    </row>
    <row r="85" spans="2:6" ht="20.25" customHeight="1">
      <c r="B85" s="146" t="s">
        <v>123</v>
      </c>
      <c r="C85" s="344" t="s">
        <v>386</v>
      </c>
      <c r="D85" s="344"/>
      <c r="E85" s="176"/>
      <c r="F85" s="177"/>
    </row>
    <row r="86" spans="2:6" ht="20.25" customHeight="1">
      <c r="B86" s="9" t="s">
        <v>78</v>
      </c>
      <c r="C86" s="178" t="s">
        <v>113</v>
      </c>
      <c r="D86" s="9" t="s">
        <v>109</v>
      </c>
      <c r="E86" s="9" t="s">
        <v>111</v>
      </c>
      <c r="F86" s="179" t="s">
        <v>114</v>
      </c>
    </row>
    <row r="87" spans="2:6" ht="20.25" customHeight="1">
      <c r="B87" s="11" t="s">
        <v>110</v>
      </c>
      <c r="C87" s="180">
        <v>415440</v>
      </c>
      <c r="D87" s="12">
        <v>0</v>
      </c>
      <c r="E87" s="181">
        <v>0</v>
      </c>
      <c r="F87" s="12">
        <f>C87+D87-E87</f>
        <v>415440</v>
      </c>
    </row>
    <row r="88" spans="2:6" ht="20.25" customHeight="1">
      <c r="B88" s="13" t="s">
        <v>77</v>
      </c>
      <c r="C88" s="182">
        <v>228784.22</v>
      </c>
      <c r="D88" s="14">
        <v>0</v>
      </c>
      <c r="E88" s="183">
        <v>0</v>
      </c>
      <c r="F88" s="14">
        <f aca="true" t="shared" si="4" ref="F88:F103">C88+D88-E88</f>
        <v>228784.22</v>
      </c>
    </row>
    <row r="89" spans="2:6" ht="20.25" customHeight="1">
      <c r="B89" s="13" t="s">
        <v>15</v>
      </c>
      <c r="C89" s="182">
        <v>4923.02</v>
      </c>
      <c r="D89" s="14">
        <v>13007.36</v>
      </c>
      <c r="E89" s="183">
        <v>4923.02</v>
      </c>
      <c r="F89" s="14">
        <f t="shared" si="4"/>
        <v>13007.36</v>
      </c>
    </row>
    <row r="90" spans="2:6" ht="20.25" customHeight="1">
      <c r="B90" s="13" t="s">
        <v>16</v>
      </c>
      <c r="C90" s="182">
        <v>5647.41</v>
      </c>
      <c r="D90" s="14"/>
      <c r="E90" s="183"/>
      <c r="F90" s="14">
        <f t="shared" si="4"/>
        <v>5647.41</v>
      </c>
    </row>
    <row r="91" spans="2:6" ht="20.25" customHeight="1">
      <c r="B91" s="13" t="s">
        <v>17</v>
      </c>
      <c r="C91" s="182">
        <v>2842.38</v>
      </c>
      <c r="D91" s="14"/>
      <c r="E91" s="183"/>
      <c r="F91" s="14">
        <f t="shared" si="4"/>
        <v>2842.38</v>
      </c>
    </row>
    <row r="92" spans="2:6" ht="20.25" customHeight="1">
      <c r="B92" s="13" t="s">
        <v>141</v>
      </c>
      <c r="C92" s="182">
        <v>225</v>
      </c>
      <c r="D92" s="14"/>
      <c r="E92" s="183"/>
      <c r="F92" s="14">
        <f t="shared" si="4"/>
        <v>225</v>
      </c>
    </row>
    <row r="93" spans="2:6" ht="20.25" customHeight="1">
      <c r="B93" s="13" t="s">
        <v>140</v>
      </c>
      <c r="C93" s="182">
        <v>110.69</v>
      </c>
      <c r="D93" s="14"/>
      <c r="E93" s="183"/>
      <c r="F93" s="14">
        <f t="shared" si="4"/>
        <v>110.69</v>
      </c>
    </row>
    <row r="94" spans="2:6" ht="20.25" customHeight="1">
      <c r="B94" s="72" t="s">
        <v>204</v>
      </c>
      <c r="C94" s="14">
        <v>13000</v>
      </c>
      <c r="D94" s="14"/>
      <c r="E94" s="183"/>
      <c r="F94" s="14">
        <f t="shared" si="4"/>
        <v>13000</v>
      </c>
    </row>
    <row r="95" spans="2:11" ht="20.25" customHeight="1">
      <c r="B95" s="13" t="s">
        <v>205</v>
      </c>
      <c r="C95" s="182">
        <v>150500</v>
      </c>
      <c r="D95" s="14"/>
      <c r="E95" s="183"/>
      <c r="F95" s="14">
        <f t="shared" si="4"/>
        <v>150500</v>
      </c>
      <c r="K95" s="187"/>
    </row>
    <row r="96" spans="2:6" ht="20.25" customHeight="1">
      <c r="B96" s="13" t="s">
        <v>206</v>
      </c>
      <c r="C96" s="182">
        <v>14400</v>
      </c>
      <c r="D96" s="14"/>
      <c r="E96" s="183"/>
      <c r="F96" s="14">
        <f t="shared" si="4"/>
        <v>14400</v>
      </c>
    </row>
    <row r="97" spans="2:6" ht="20.25" customHeight="1">
      <c r="B97" s="13" t="s">
        <v>207</v>
      </c>
      <c r="C97" s="182">
        <v>743.25</v>
      </c>
      <c r="D97" s="14"/>
      <c r="E97" s="183"/>
      <c r="F97" s="14">
        <f t="shared" si="4"/>
        <v>743.25</v>
      </c>
    </row>
    <row r="98" spans="2:6" ht="20.25" customHeight="1">
      <c r="B98" s="13" t="s">
        <v>168</v>
      </c>
      <c r="C98" s="279">
        <v>0</v>
      </c>
      <c r="D98" s="14">
        <v>7283</v>
      </c>
      <c r="E98" s="183">
        <v>7283</v>
      </c>
      <c r="F98" s="14">
        <f t="shared" si="4"/>
        <v>0</v>
      </c>
    </row>
    <row r="99" spans="2:6" ht="20.25" customHeight="1">
      <c r="B99" s="13" t="s">
        <v>175</v>
      </c>
      <c r="C99" s="184">
        <v>429650</v>
      </c>
      <c r="D99" s="14">
        <v>0</v>
      </c>
      <c r="E99" s="183">
        <v>166200</v>
      </c>
      <c r="F99" s="14">
        <f t="shared" si="4"/>
        <v>263450</v>
      </c>
    </row>
    <row r="100" spans="2:6" ht="20.25" customHeight="1">
      <c r="B100" s="13" t="s">
        <v>223</v>
      </c>
      <c r="C100" s="184"/>
      <c r="D100" s="209">
        <v>78186</v>
      </c>
      <c r="E100" s="209">
        <v>78186</v>
      </c>
      <c r="F100" s="14">
        <f t="shared" si="4"/>
        <v>0</v>
      </c>
    </row>
    <row r="101" spans="2:6" ht="20.25" customHeight="1">
      <c r="B101" s="13" t="s">
        <v>224</v>
      </c>
      <c r="C101" s="184"/>
      <c r="D101" s="209">
        <v>63100</v>
      </c>
      <c r="E101" s="209">
        <v>63100</v>
      </c>
      <c r="F101" s="14">
        <f t="shared" si="4"/>
        <v>0</v>
      </c>
    </row>
    <row r="102" spans="2:6" ht="20.25" customHeight="1">
      <c r="B102" s="13" t="s">
        <v>225</v>
      </c>
      <c r="C102" s="184"/>
      <c r="D102" s="209">
        <v>29187</v>
      </c>
      <c r="E102" s="209">
        <v>29187</v>
      </c>
      <c r="F102" s="14">
        <f t="shared" si="4"/>
        <v>0</v>
      </c>
    </row>
    <row r="103" spans="2:6" ht="20.25" customHeight="1">
      <c r="B103" s="13" t="s">
        <v>226</v>
      </c>
      <c r="C103" s="184"/>
      <c r="D103" s="209">
        <v>27315</v>
      </c>
      <c r="E103" s="209">
        <v>27315</v>
      </c>
      <c r="F103" s="191">
        <f t="shared" si="4"/>
        <v>0</v>
      </c>
    </row>
    <row r="104" spans="2:6" ht="20.25" customHeight="1" thickBot="1">
      <c r="B104" s="208" t="s">
        <v>46</v>
      </c>
      <c r="C104" s="15">
        <f>SUM(C87:C99)</f>
        <v>1266265.97</v>
      </c>
      <c r="D104" s="15">
        <f>SUM(D87:D103)</f>
        <v>218078.36</v>
      </c>
      <c r="E104" s="186">
        <f>SUM(E87:E103)</f>
        <v>376194.02</v>
      </c>
      <c r="F104" s="192">
        <f>SUM(F87:F103)</f>
        <v>1108150.31</v>
      </c>
    </row>
    <row r="105" ht="20.25" customHeight="1" thickTop="1"/>
    <row r="106" spans="2:6" ht="20.25" customHeight="1">
      <c r="B106" s="146" t="s">
        <v>18</v>
      </c>
      <c r="C106" s="344" t="s">
        <v>386</v>
      </c>
      <c r="D106" s="344"/>
      <c r="E106" s="176"/>
      <c r="F106" s="177"/>
    </row>
    <row r="107" spans="2:6" ht="20.25" customHeight="1">
      <c r="B107" s="9" t="s">
        <v>78</v>
      </c>
      <c r="C107" s="178" t="s">
        <v>113</v>
      </c>
      <c r="D107" s="9" t="s">
        <v>109</v>
      </c>
      <c r="E107" s="9" t="s">
        <v>111</v>
      </c>
      <c r="F107" s="178" t="s">
        <v>114</v>
      </c>
    </row>
    <row r="108" spans="2:6" ht="20.25" customHeight="1">
      <c r="B108" s="189" t="s">
        <v>210</v>
      </c>
      <c r="C108" s="182">
        <v>215000</v>
      </c>
      <c r="D108" s="190"/>
      <c r="E108" s="182"/>
      <c r="F108" s="14">
        <f aca="true" t="shared" si="5" ref="F108:F118">C108-E108</f>
        <v>215000</v>
      </c>
    </row>
    <row r="109" spans="2:6" ht="20.25" customHeight="1">
      <c r="B109" s="189" t="s">
        <v>211</v>
      </c>
      <c r="C109" s="182">
        <v>170000</v>
      </c>
      <c r="D109" s="190"/>
      <c r="E109" s="182"/>
      <c r="F109" s="14">
        <f t="shared" si="5"/>
        <v>170000</v>
      </c>
    </row>
    <row r="110" spans="2:6" ht="20.25" customHeight="1">
      <c r="B110" s="189" t="s">
        <v>213</v>
      </c>
      <c r="C110" s="182">
        <v>149000</v>
      </c>
      <c r="D110" s="190"/>
      <c r="E110" s="182">
        <v>149000</v>
      </c>
      <c r="F110" s="14">
        <f t="shared" si="5"/>
        <v>0</v>
      </c>
    </row>
    <row r="111" spans="2:6" ht="20.25" customHeight="1">
      <c r="B111" s="189" t="s">
        <v>214</v>
      </c>
      <c r="C111" s="182">
        <v>94500</v>
      </c>
      <c r="D111" s="190"/>
      <c r="E111" s="182">
        <v>94500</v>
      </c>
      <c r="F111" s="14">
        <f t="shared" si="5"/>
        <v>0</v>
      </c>
    </row>
    <row r="112" spans="2:6" ht="20.25" customHeight="1">
      <c r="B112" s="189" t="s">
        <v>215</v>
      </c>
      <c r="C112" s="182">
        <v>149000</v>
      </c>
      <c r="D112" s="190"/>
      <c r="E112" s="182">
        <v>149000</v>
      </c>
      <c r="F112" s="14">
        <f t="shared" si="5"/>
        <v>0</v>
      </c>
    </row>
    <row r="113" spans="2:6" ht="20.25" customHeight="1">
      <c r="B113" s="189" t="s">
        <v>187</v>
      </c>
      <c r="C113" s="182">
        <v>8488.2</v>
      </c>
      <c r="D113" s="14"/>
      <c r="E113" s="182"/>
      <c r="F113" s="14">
        <f t="shared" si="5"/>
        <v>8488.2</v>
      </c>
    </row>
    <row r="114" spans="2:6" ht="20.25" customHeight="1">
      <c r="B114" s="189" t="s">
        <v>187</v>
      </c>
      <c r="C114" s="182">
        <v>8914.8</v>
      </c>
      <c r="D114" s="14"/>
      <c r="E114" s="182"/>
      <c r="F114" s="14">
        <f t="shared" si="5"/>
        <v>8914.8</v>
      </c>
    </row>
    <row r="115" spans="2:6" ht="20.25" customHeight="1">
      <c r="B115" s="189" t="s">
        <v>218</v>
      </c>
      <c r="C115" s="182"/>
      <c r="D115" s="14"/>
      <c r="E115" s="182"/>
      <c r="F115" s="14">
        <f t="shared" si="5"/>
        <v>0</v>
      </c>
    </row>
    <row r="116" spans="2:6" ht="20.25" customHeight="1">
      <c r="B116" s="189" t="s">
        <v>219</v>
      </c>
      <c r="C116" s="182"/>
      <c r="D116" s="14"/>
      <c r="E116" s="182"/>
      <c r="F116" s="14">
        <f t="shared" si="5"/>
        <v>0</v>
      </c>
    </row>
    <row r="117" spans="2:6" ht="20.25" customHeight="1">
      <c r="B117" s="189" t="s">
        <v>220</v>
      </c>
      <c r="C117" s="182"/>
      <c r="D117" s="14"/>
      <c r="E117" s="182"/>
      <c r="F117" s="14">
        <f t="shared" si="5"/>
        <v>0</v>
      </c>
    </row>
    <row r="118" spans="2:6" ht="20.25" customHeight="1">
      <c r="B118" s="189" t="s">
        <v>221</v>
      </c>
      <c r="C118" s="182"/>
      <c r="D118" s="14"/>
      <c r="E118" s="182"/>
      <c r="F118" s="14">
        <f t="shared" si="5"/>
        <v>0</v>
      </c>
    </row>
    <row r="119" spans="2:6" ht="20.25" customHeight="1" thickBot="1">
      <c r="B119" s="185" t="s">
        <v>46</v>
      </c>
      <c r="C119" s="15">
        <f>SUM(C108:C118)</f>
        <v>794903</v>
      </c>
      <c r="D119" s="15">
        <f>SUM(D113:D117)</f>
        <v>0</v>
      </c>
      <c r="E119" s="186">
        <f>SUM(E108:E118)</f>
        <v>392500</v>
      </c>
      <c r="F119" s="178">
        <f>SUM(F108:F118)</f>
        <v>402403</v>
      </c>
    </row>
    <row r="120" spans="2:6" ht="20.25" customHeight="1" thickTop="1">
      <c r="B120" s="145"/>
      <c r="D120" s="182"/>
      <c r="E120" s="182"/>
      <c r="F120" s="194"/>
    </row>
    <row r="121" spans="2:6" ht="20.25" customHeight="1">
      <c r="B121" s="145"/>
      <c r="D121" s="182"/>
      <c r="E121" s="182"/>
      <c r="F121" s="194"/>
    </row>
    <row r="122" spans="2:6" ht="20.25" customHeight="1">
      <c r="B122" s="145"/>
      <c r="D122" s="182"/>
      <c r="E122" s="182"/>
      <c r="F122" s="194"/>
    </row>
    <row r="123" spans="2:6" ht="20.25" customHeight="1">
      <c r="B123" s="145"/>
      <c r="D123" s="182"/>
      <c r="E123" s="182"/>
      <c r="F123" s="194"/>
    </row>
    <row r="124" spans="2:6" ht="20.25" customHeight="1">
      <c r="B124" s="343" t="s">
        <v>112</v>
      </c>
      <c r="C124" s="343"/>
      <c r="D124" s="343"/>
      <c r="E124" s="343"/>
      <c r="F124" s="343"/>
    </row>
    <row r="125" spans="2:6" ht="20.25" customHeight="1">
      <c r="B125" s="8"/>
      <c r="C125" s="8"/>
      <c r="D125" s="8"/>
      <c r="E125" s="8"/>
      <c r="F125" s="8"/>
    </row>
    <row r="126" spans="2:6" ht="20.25" customHeight="1">
      <c r="B126" s="146" t="s">
        <v>123</v>
      </c>
      <c r="C126" s="344" t="s">
        <v>391</v>
      </c>
      <c r="D126" s="344"/>
      <c r="E126" s="176"/>
      <c r="F126" s="177"/>
    </row>
    <row r="127" spans="2:6" ht="20.25" customHeight="1">
      <c r="B127" s="9" t="s">
        <v>78</v>
      </c>
      <c r="C127" s="178" t="s">
        <v>113</v>
      </c>
      <c r="D127" s="9" t="s">
        <v>109</v>
      </c>
      <c r="E127" s="9" t="s">
        <v>111</v>
      </c>
      <c r="F127" s="179" t="s">
        <v>114</v>
      </c>
    </row>
    <row r="128" spans="2:11" ht="20.25" customHeight="1">
      <c r="B128" s="11" t="s">
        <v>110</v>
      </c>
      <c r="C128" s="180">
        <v>415440</v>
      </c>
      <c r="D128" s="12">
        <v>13875</v>
      </c>
      <c r="E128" s="181">
        <v>0</v>
      </c>
      <c r="F128" s="12">
        <f>C128+D128-E128</f>
        <v>429315</v>
      </c>
      <c r="K128" s="187"/>
    </row>
    <row r="129" spans="2:11" ht="20.25" customHeight="1">
      <c r="B129" s="13" t="s">
        <v>77</v>
      </c>
      <c r="C129" s="182">
        <v>228784.22</v>
      </c>
      <c r="D129" s="14">
        <v>0</v>
      </c>
      <c r="E129" s="183">
        <v>0</v>
      </c>
      <c r="F129" s="14">
        <f aca="true" t="shared" si="6" ref="F129:F144">C129+D129-E129</f>
        <v>228784.22</v>
      </c>
      <c r="K129" s="187"/>
    </row>
    <row r="130" spans="2:11" ht="20.25" customHeight="1">
      <c r="B130" s="13" t="s">
        <v>15</v>
      </c>
      <c r="C130" s="182">
        <v>13007.36</v>
      </c>
      <c r="D130" s="14">
        <v>2976.64</v>
      </c>
      <c r="E130" s="183">
        <v>13007.36</v>
      </c>
      <c r="F130" s="14">
        <f t="shared" si="6"/>
        <v>2976.6399999999994</v>
      </c>
      <c r="K130" s="187"/>
    </row>
    <row r="131" spans="2:11" ht="20.25" customHeight="1">
      <c r="B131" s="13" t="s">
        <v>16</v>
      </c>
      <c r="C131" s="182">
        <v>5647.41</v>
      </c>
      <c r="D131" s="14"/>
      <c r="E131" s="183"/>
      <c r="F131" s="14">
        <f t="shared" si="6"/>
        <v>5647.41</v>
      </c>
      <c r="K131" s="187"/>
    </row>
    <row r="132" spans="2:11" ht="20.25" customHeight="1">
      <c r="B132" s="13" t="s">
        <v>17</v>
      </c>
      <c r="C132" s="182">
        <v>2842.38</v>
      </c>
      <c r="D132" s="14">
        <v>639.93</v>
      </c>
      <c r="E132" s="183">
        <v>2842.38</v>
      </c>
      <c r="F132" s="14">
        <f t="shared" si="6"/>
        <v>639.9299999999998</v>
      </c>
      <c r="K132" s="187"/>
    </row>
    <row r="133" spans="2:11" ht="20.25" customHeight="1">
      <c r="B133" s="13" t="s">
        <v>141</v>
      </c>
      <c r="C133" s="182">
        <v>225</v>
      </c>
      <c r="D133" s="14"/>
      <c r="E133" s="183"/>
      <c r="F133" s="14">
        <f t="shared" si="6"/>
        <v>225</v>
      </c>
      <c r="K133" s="187"/>
    </row>
    <row r="134" spans="2:11" ht="20.25" customHeight="1">
      <c r="B134" s="13" t="s">
        <v>140</v>
      </c>
      <c r="C134" s="182">
        <v>110.69</v>
      </c>
      <c r="D134" s="14"/>
      <c r="E134" s="183"/>
      <c r="F134" s="14">
        <f t="shared" si="6"/>
        <v>110.69</v>
      </c>
      <c r="K134" s="187"/>
    </row>
    <row r="135" spans="2:11" ht="20.25" customHeight="1">
      <c r="B135" s="72" t="s">
        <v>204</v>
      </c>
      <c r="C135" s="14">
        <v>13000</v>
      </c>
      <c r="D135" s="14"/>
      <c r="E135" s="183"/>
      <c r="F135" s="14">
        <f t="shared" si="6"/>
        <v>13000</v>
      </c>
      <c r="K135" s="187"/>
    </row>
    <row r="136" spans="2:11" ht="20.25" customHeight="1">
      <c r="B136" s="13" t="s">
        <v>205</v>
      </c>
      <c r="C136" s="182">
        <v>150500</v>
      </c>
      <c r="D136" s="14"/>
      <c r="E136" s="183"/>
      <c r="F136" s="14">
        <f t="shared" si="6"/>
        <v>150500</v>
      </c>
      <c r="K136" s="187"/>
    </row>
    <row r="137" spans="2:11" ht="20.25" customHeight="1">
      <c r="B137" s="13" t="s">
        <v>206</v>
      </c>
      <c r="C137" s="182">
        <v>14400</v>
      </c>
      <c r="D137" s="14"/>
      <c r="E137" s="183"/>
      <c r="F137" s="14">
        <f t="shared" si="6"/>
        <v>14400</v>
      </c>
      <c r="K137" s="187"/>
    </row>
    <row r="138" spans="2:11" ht="20.25" customHeight="1">
      <c r="B138" s="13" t="s">
        <v>207</v>
      </c>
      <c r="C138" s="182">
        <v>743.25</v>
      </c>
      <c r="D138" s="14"/>
      <c r="E138" s="183"/>
      <c r="F138" s="14">
        <f t="shared" si="6"/>
        <v>743.25</v>
      </c>
      <c r="K138" s="187"/>
    </row>
    <row r="139" spans="2:11" ht="20.25" customHeight="1">
      <c r="B139" s="13" t="s">
        <v>168</v>
      </c>
      <c r="C139" s="279">
        <v>0</v>
      </c>
      <c r="D139" s="14">
        <v>7283</v>
      </c>
      <c r="E139" s="183">
        <v>7283</v>
      </c>
      <c r="F139" s="14">
        <f t="shared" si="6"/>
        <v>0</v>
      </c>
      <c r="K139" s="187"/>
    </row>
    <row r="140" spans="2:6" ht="20.25" customHeight="1">
      <c r="B140" s="13" t="s">
        <v>175</v>
      </c>
      <c r="C140" s="184">
        <v>263450</v>
      </c>
      <c r="D140" s="14"/>
      <c r="E140" s="183">
        <v>263450</v>
      </c>
      <c r="F140" s="14">
        <f t="shared" si="6"/>
        <v>0</v>
      </c>
    </row>
    <row r="141" spans="2:6" ht="20.25" customHeight="1">
      <c r="B141" s="13" t="s">
        <v>223</v>
      </c>
      <c r="C141" s="184"/>
      <c r="D141" s="209">
        <v>74435</v>
      </c>
      <c r="E141" s="209">
        <v>74435</v>
      </c>
      <c r="F141" s="14">
        <f t="shared" si="6"/>
        <v>0</v>
      </c>
    </row>
    <row r="142" spans="2:6" ht="20.25" customHeight="1">
      <c r="B142" s="13" t="s">
        <v>224</v>
      </c>
      <c r="C142" s="184"/>
      <c r="D142" s="209">
        <v>57400</v>
      </c>
      <c r="E142" s="209">
        <v>57400</v>
      </c>
      <c r="F142" s="14">
        <f t="shared" si="6"/>
        <v>0</v>
      </c>
    </row>
    <row r="143" spans="2:6" ht="20.25" customHeight="1">
      <c r="B143" s="13" t="s">
        <v>225</v>
      </c>
      <c r="C143" s="184"/>
      <c r="D143" s="209">
        <v>29374</v>
      </c>
      <c r="E143" s="209">
        <v>29374</v>
      </c>
      <c r="F143" s="14">
        <f t="shared" si="6"/>
        <v>0</v>
      </c>
    </row>
    <row r="144" spans="2:6" ht="20.25" customHeight="1">
      <c r="B144" s="13" t="s">
        <v>226</v>
      </c>
      <c r="C144" s="184"/>
      <c r="D144" s="209">
        <v>27212</v>
      </c>
      <c r="E144" s="209">
        <v>27212</v>
      </c>
      <c r="F144" s="191">
        <f t="shared" si="6"/>
        <v>0</v>
      </c>
    </row>
    <row r="145" spans="2:6" ht="20.25" customHeight="1" thickBot="1">
      <c r="B145" s="208" t="s">
        <v>46</v>
      </c>
      <c r="C145" s="15">
        <f>SUM(C128:C140)</f>
        <v>1108150.31</v>
      </c>
      <c r="D145" s="15">
        <f>SUM(D128:D144)</f>
        <v>213195.57</v>
      </c>
      <c r="E145" s="186">
        <f>SUM(E128:E144)</f>
        <v>475003.74</v>
      </c>
      <c r="F145" s="192">
        <f>SUM(F128:F144)</f>
        <v>846342.14</v>
      </c>
    </row>
    <row r="146" ht="20.25" customHeight="1" thickTop="1"/>
    <row r="147" spans="2:6" ht="20.25" customHeight="1">
      <c r="B147" s="146" t="s">
        <v>18</v>
      </c>
      <c r="C147" s="344" t="s">
        <v>392</v>
      </c>
      <c r="D147" s="344"/>
      <c r="E147" s="176"/>
      <c r="F147" s="177"/>
    </row>
    <row r="148" spans="2:6" ht="20.25" customHeight="1">
      <c r="B148" s="9" t="s">
        <v>78</v>
      </c>
      <c r="C148" s="178" t="s">
        <v>113</v>
      </c>
      <c r="D148" s="9" t="s">
        <v>109</v>
      </c>
      <c r="E148" s="9" t="s">
        <v>111</v>
      </c>
      <c r="F148" s="178" t="s">
        <v>114</v>
      </c>
    </row>
    <row r="149" spans="2:6" ht="20.25" customHeight="1">
      <c r="B149" s="189" t="s">
        <v>210</v>
      </c>
      <c r="C149" s="182">
        <v>215000</v>
      </c>
      <c r="D149" s="190"/>
      <c r="E149" s="182"/>
      <c r="F149" s="14">
        <f aca="true" t="shared" si="7" ref="F149:F159">C149-E149</f>
        <v>215000</v>
      </c>
    </row>
    <row r="150" spans="2:6" ht="20.25" customHeight="1">
      <c r="B150" s="189" t="s">
        <v>211</v>
      </c>
      <c r="C150" s="182">
        <v>170000</v>
      </c>
      <c r="D150" s="190"/>
      <c r="E150" s="182"/>
      <c r="F150" s="14">
        <f t="shared" si="7"/>
        <v>170000</v>
      </c>
    </row>
    <row r="151" spans="2:6" ht="20.25" customHeight="1">
      <c r="B151" s="189" t="s">
        <v>213</v>
      </c>
      <c r="C151" s="182">
        <v>0</v>
      </c>
      <c r="D151" s="190"/>
      <c r="E151" s="182"/>
      <c r="F151" s="14">
        <f t="shared" si="7"/>
        <v>0</v>
      </c>
    </row>
    <row r="152" spans="2:6" ht="20.25" customHeight="1">
      <c r="B152" s="189" t="s">
        <v>214</v>
      </c>
      <c r="C152" s="182">
        <v>0</v>
      </c>
      <c r="D152" s="190"/>
      <c r="E152" s="182"/>
      <c r="F152" s="14">
        <f t="shared" si="7"/>
        <v>0</v>
      </c>
    </row>
    <row r="153" spans="2:6" ht="20.25" customHeight="1">
      <c r="B153" s="189" t="s">
        <v>215</v>
      </c>
      <c r="C153" s="182">
        <v>0</v>
      </c>
      <c r="D153" s="190"/>
      <c r="E153" s="182"/>
      <c r="F153" s="14">
        <f t="shared" si="7"/>
        <v>0</v>
      </c>
    </row>
    <row r="154" spans="2:6" ht="20.25" customHeight="1">
      <c r="B154" s="189" t="s">
        <v>187</v>
      </c>
      <c r="C154" s="182">
        <v>8488.2</v>
      </c>
      <c r="D154" s="14"/>
      <c r="E154" s="182">
        <f>8488.2-164.5</f>
        <v>8323.7</v>
      </c>
      <c r="F154" s="14">
        <f t="shared" si="7"/>
        <v>164.5</v>
      </c>
    </row>
    <row r="155" spans="2:6" ht="20.25" customHeight="1">
      <c r="B155" s="189" t="s">
        <v>187</v>
      </c>
      <c r="C155" s="182">
        <v>8914.8</v>
      </c>
      <c r="D155" s="14"/>
      <c r="E155" s="182">
        <v>8914.8</v>
      </c>
      <c r="F155" s="14">
        <f t="shared" si="7"/>
        <v>0</v>
      </c>
    </row>
    <row r="156" spans="2:6" ht="20.25" customHeight="1">
      <c r="B156" s="189" t="s">
        <v>218</v>
      </c>
      <c r="C156" s="182"/>
      <c r="D156" s="14"/>
      <c r="E156" s="182"/>
      <c r="F156" s="14">
        <f t="shared" si="7"/>
        <v>0</v>
      </c>
    </row>
    <row r="157" spans="2:6" ht="20.25" customHeight="1">
      <c r="B157" s="189" t="s">
        <v>219</v>
      </c>
      <c r="C157" s="182"/>
      <c r="D157" s="14"/>
      <c r="E157" s="182"/>
      <c r="F157" s="14">
        <f t="shared" si="7"/>
        <v>0</v>
      </c>
    </row>
    <row r="158" spans="2:6" ht="20.25" customHeight="1">
      <c r="B158" s="189" t="s">
        <v>220</v>
      </c>
      <c r="C158" s="182"/>
      <c r="D158" s="14"/>
      <c r="E158" s="182"/>
      <c r="F158" s="14">
        <f t="shared" si="7"/>
        <v>0</v>
      </c>
    </row>
    <row r="159" spans="2:6" ht="20.25" customHeight="1">
      <c r="B159" s="189" t="s">
        <v>221</v>
      </c>
      <c r="C159" s="182"/>
      <c r="D159" s="14"/>
      <c r="E159" s="182"/>
      <c r="F159" s="14">
        <f t="shared" si="7"/>
        <v>0</v>
      </c>
    </row>
    <row r="160" spans="2:6" ht="20.25" customHeight="1" thickBot="1">
      <c r="B160" s="185" t="s">
        <v>46</v>
      </c>
      <c r="C160" s="15">
        <f>SUM(C149:C159)</f>
        <v>402403</v>
      </c>
      <c r="D160" s="15">
        <f>SUM(D154:D158)</f>
        <v>0</v>
      </c>
      <c r="E160" s="186">
        <f>SUM(E149:E159)</f>
        <v>17238.5</v>
      </c>
      <c r="F160" s="178">
        <f>SUM(F149:F159)</f>
        <v>385164.5</v>
      </c>
    </row>
    <row r="161" spans="2:6" ht="20.25" customHeight="1" thickTop="1">
      <c r="B161" s="145"/>
      <c r="D161" s="182"/>
      <c r="E161" s="182"/>
      <c r="F161" s="194"/>
    </row>
    <row r="165" spans="2:6" ht="20.25" customHeight="1">
      <c r="B165" s="8" t="s">
        <v>79</v>
      </c>
      <c r="C165" s="344" t="s">
        <v>391</v>
      </c>
      <c r="D165" s="344"/>
      <c r="E165" s="193"/>
      <c r="F165" s="194"/>
    </row>
    <row r="166" spans="2:6" ht="20.25" customHeight="1">
      <c r="B166" s="345" t="s">
        <v>78</v>
      </c>
      <c r="C166" s="345"/>
      <c r="D166" s="9" t="s">
        <v>113</v>
      </c>
      <c r="E166" s="17" t="s">
        <v>109</v>
      </c>
      <c r="F166" s="178" t="s">
        <v>114</v>
      </c>
    </row>
    <row r="167" spans="2:6" ht="20.25" customHeight="1">
      <c r="B167" s="195" t="s">
        <v>19</v>
      </c>
      <c r="C167" s="196"/>
      <c r="D167" s="188"/>
      <c r="E167" s="12">
        <v>10018.32</v>
      </c>
      <c r="F167" s="204">
        <f aca="true" t="shared" si="8" ref="F167:F195">E167+D167</f>
        <v>10018.32</v>
      </c>
    </row>
    <row r="168" spans="2:6" ht="20.25" customHeight="1">
      <c r="B168" s="197" t="s">
        <v>177</v>
      </c>
      <c r="C168" s="198"/>
      <c r="D168" s="188"/>
      <c r="E168" s="14"/>
      <c r="F168" s="204">
        <v>0</v>
      </c>
    </row>
    <row r="169" spans="2:6" ht="20.25" customHeight="1">
      <c r="B169" s="197" t="s">
        <v>172</v>
      </c>
      <c r="C169" s="198"/>
      <c r="D169" s="188"/>
      <c r="E169" s="14">
        <v>1275.5</v>
      </c>
      <c r="F169" s="204">
        <f t="shared" si="8"/>
        <v>1275.5</v>
      </c>
    </row>
    <row r="170" spans="2:6" ht="20.25" customHeight="1">
      <c r="B170" s="197" t="s">
        <v>23</v>
      </c>
      <c r="C170" s="198"/>
      <c r="D170" s="188">
        <v>3377</v>
      </c>
      <c r="E170" s="14"/>
      <c r="F170" s="204">
        <f t="shared" si="8"/>
        <v>3377</v>
      </c>
    </row>
    <row r="171" spans="2:6" ht="20.25" customHeight="1">
      <c r="B171" s="197" t="s">
        <v>169</v>
      </c>
      <c r="C171" s="198"/>
      <c r="D171" s="188">
        <v>50</v>
      </c>
      <c r="E171" s="14"/>
      <c r="F171" s="204">
        <f t="shared" si="8"/>
        <v>50</v>
      </c>
    </row>
    <row r="172" spans="2:6" ht="20.25" customHeight="1">
      <c r="B172" s="197" t="s">
        <v>188</v>
      </c>
      <c r="C172" s="198"/>
      <c r="D172" s="188">
        <v>6900</v>
      </c>
      <c r="E172" s="14"/>
      <c r="F172" s="204">
        <f t="shared" si="8"/>
        <v>6900</v>
      </c>
    </row>
    <row r="173" spans="2:6" ht="20.25" customHeight="1">
      <c r="B173" s="197" t="s">
        <v>227</v>
      </c>
      <c r="C173" s="198"/>
      <c r="D173" s="188">
        <v>97</v>
      </c>
      <c r="E173" s="14"/>
      <c r="F173" s="204">
        <f t="shared" si="8"/>
        <v>97</v>
      </c>
    </row>
    <row r="174" spans="2:6" ht="20.25" customHeight="1">
      <c r="B174" s="236" t="s">
        <v>198</v>
      </c>
      <c r="C174" s="198"/>
      <c r="D174" s="188"/>
      <c r="E174" s="14">
        <v>500</v>
      </c>
      <c r="F174" s="204">
        <f t="shared" si="8"/>
        <v>500</v>
      </c>
    </row>
    <row r="175" spans="2:6" ht="20.25" customHeight="1">
      <c r="B175" s="197" t="s">
        <v>27</v>
      </c>
      <c r="C175" s="198"/>
      <c r="D175" s="188">
        <v>5200</v>
      </c>
      <c r="E175" s="14"/>
      <c r="F175" s="204">
        <f t="shared" si="8"/>
        <v>5200</v>
      </c>
    </row>
    <row r="176" spans="2:6" ht="20.25" customHeight="1">
      <c r="B176" s="197" t="s">
        <v>43</v>
      </c>
      <c r="C176" s="198"/>
      <c r="D176" s="188">
        <v>8169.4</v>
      </c>
      <c r="E176" s="14"/>
      <c r="F176" s="204">
        <f t="shared" si="8"/>
        <v>8169.4</v>
      </c>
    </row>
    <row r="177" spans="2:6" ht="20.25" customHeight="1">
      <c r="B177" s="197" t="s">
        <v>174</v>
      </c>
      <c r="C177" s="198"/>
      <c r="D177" s="188"/>
      <c r="E177" s="14"/>
      <c r="F177" s="204">
        <f t="shared" si="8"/>
        <v>0</v>
      </c>
    </row>
    <row r="178" spans="2:6" ht="20.25" customHeight="1">
      <c r="B178" s="197" t="s">
        <v>171</v>
      </c>
      <c r="C178" s="198"/>
      <c r="D178" s="188">
        <v>2212799.9</v>
      </c>
      <c r="E178" s="14"/>
      <c r="F178" s="204">
        <f t="shared" si="8"/>
        <v>2212799.9</v>
      </c>
    </row>
    <row r="179" spans="2:6" ht="20.25" customHeight="1">
      <c r="B179" s="197" t="s">
        <v>10</v>
      </c>
      <c r="C179" s="198"/>
      <c r="D179" s="188">
        <v>55475</v>
      </c>
      <c r="E179" s="14">
        <v>53903</v>
      </c>
      <c r="F179" s="204">
        <f t="shared" si="8"/>
        <v>109378</v>
      </c>
    </row>
    <row r="180" spans="2:6" ht="20.25" customHeight="1">
      <c r="B180" s="197" t="s">
        <v>176</v>
      </c>
      <c r="C180" s="198"/>
      <c r="D180" s="188"/>
      <c r="E180" s="14"/>
      <c r="F180" s="204">
        <f t="shared" si="8"/>
        <v>0</v>
      </c>
    </row>
    <row r="181" spans="2:6" ht="20.25" customHeight="1">
      <c r="B181" s="197" t="s">
        <v>9</v>
      </c>
      <c r="C181" s="198"/>
      <c r="D181" s="188">
        <v>334676.53</v>
      </c>
      <c r="E181" s="14">
        <v>143657.5</v>
      </c>
      <c r="F181" s="204">
        <f t="shared" si="8"/>
        <v>478334.03</v>
      </c>
    </row>
    <row r="182" spans="2:6" ht="20.25" customHeight="1">
      <c r="B182" s="197" t="s">
        <v>24</v>
      </c>
      <c r="C182" s="198"/>
      <c r="D182" s="188">
        <v>15865.14</v>
      </c>
      <c r="E182" s="14">
        <v>5991.83</v>
      </c>
      <c r="F182" s="204">
        <f t="shared" si="8"/>
        <v>21856.97</v>
      </c>
    </row>
    <row r="183" spans="2:6" ht="20.25" customHeight="1">
      <c r="B183" s="197" t="s">
        <v>20</v>
      </c>
      <c r="C183" s="198"/>
      <c r="D183" s="188">
        <v>158290.81</v>
      </c>
      <c r="E183" s="14">
        <v>77347.6</v>
      </c>
      <c r="F183" s="204">
        <f t="shared" si="8"/>
        <v>235638.41</v>
      </c>
    </row>
    <row r="184" spans="2:6" ht="20.25" customHeight="1">
      <c r="B184" s="197" t="s">
        <v>21</v>
      </c>
      <c r="C184" s="198"/>
      <c r="D184" s="188">
        <v>401485.6</v>
      </c>
      <c r="E184" s="14">
        <v>160661.4</v>
      </c>
      <c r="F184" s="204">
        <f t="shared" si="8"/>
        <v>562147</v>
      </c>
    </row>
    <row r="185" spans="2:6" ht="20.25" customHeight="1">
      <c r="B185" s="197" t="s">
        <v>22</v>
      </c>
      <c r="C185" s="198"/>
      <c r="D185" s="188">
        <v>5473.67</v>
      </c>
      <c r="E185" s="14">
        <v>5110.41</v>
      </c>
      <c r="F185" s="204">
        <f t="shared" si="8"/>
        <v>10584.08</v>
      </c>
    </row>
    <row r="186" spans="2:6" ht="20.25" customHeight="1">
      <c r="B186" s="197" t="s">
        <v>28</v>
      </c>
      <c r="C186" s="198"/>
      <c r="D186" s="188">
        <v>1331630</v>
      </c>
      <c r="E186" s="14">
        <v>1331631</v>
      </c>
      <c r="F186" s="204">
        <f t="shared" si="8"/>
        <v>2663261</v>
      </c>
    </row>
    <row r="187" spans="2:6" ht="20.25" customHeight="1">
      <c r="B187" s="197" t="s">
        <v>393</v>
      </c>
      <c r="C187" s="198"/>
      <c r="D187" s="188">
        <v>1065800</v>
      </c>
      <c r="E187" s="14">
        <v>1065800</v>
      </c>
      <c r="F187" s="204">
        <f t="shared" si="8"/>
        <v>2131600</v>
      </c>
    </row>
    <row r="188" spans="2:6" ht="20.25" customHeight="1">
      <c r="B188" s="197" t="s">
        <v>394</v>
      </c>
      <c r="C188" s="198"/>
      <c r="D188" s="188">
        <v>175200</v>
      </c>
      <c r="E188" s="14">
        <v>175200</v>
      </c>
      <c r="F188" s="204">
        <f t="shared" si="8"/>
        <v>350400</v>
      </c>
    </row>
    <row r="189" spans="2:6" ht="20.25" customHeight="1">
      <c r="B189" s="197" t="s">
        <v>395</v>
      </c>
      <c r="C189" s="198"/>
      <c r="D189" s="188">
        <v>6000</v>
      </c>
      <c r="E189" s="14">
        <v>6000</v>
      </c>
      <c r="F189" s="204">
        <f t="shared" si="8"/>
        <v>12000</v>
      </c>
    </row>
    <row r="190" spans="2:6" ht="20.25" customHeight="1">
      <c r="B190" s="197" t="s">
        <v>396</v>
      </c>
      <c r="C190" s="198"/>
      <c r="D190" s="188">
        <v>103860</v>
      </c>
      <c r="E190" s="14">
        <v>110040</v>
      </c>
      <c r="F190" s="204">
        <f t="shared" si="8"/>
        <v>213900</v>
      </c>
    </row>
    <row r="191" spans="2:6" ht="20.25" customHeight="1">
      <c r="B191" s="197" t="s">
        <v>402</v>
      </c>
      <c r="C191" s="198"/>
      <c r="D191" s="188">
        <v>100300</v>
      </c>
      <c r="E191" s="14">
        <v>0</v>
      </c>
      <c r="F191" s="204">
        <f t="shared" si="8"/>
        <v>100300</v>
      </c>
    </row>
    <row r="192" spans="2:6" ht="20.25" customHeight="1">
      <c r="B192" s="197" t="s">
        <v>397</v>
      </c>
      <c r="C192" s="198"/>
      <c r="D192" s="188">
        <v>28264</v>
      </c>
      <c r="E192" s="14">
        <v>28264</v>
      </c>
      <c r="F192" s="204">
        <f t="shared" si="8"/>
        <v>56528</v>
      </c>
    </row>
    <row r="193" spans="2:6" ht="20.25" customHeight="1">
      <c r="B193" s="197" t="s">
        <v>398</v>
      </c>
      <c r="C193" s="198"/>
      <c r="D193" s="188">
        <v>76700</v>
      </c>
      <c r="E193" s="14">
        <v>70800</v>
      </c>
      <c r="F193" s="204">
        <f>E193+D193</f>
        <v>147500</v>
      </c>
    </row>
    <row r="194" spans="2:6" ht="20.25" customHeight="1">
      <c r="B194" s="197" t="s">
        <v>399</v>
      </c>
      <c r="C194" s="198"/>
      <c r="D194" s="188">
        <v>121199</v>
      </c>
      <c r="E194" s="14">
        <v>121199</v>
      </c>
      <c r="F194" s="204">
        <f t="shared" si="8"/>
        <v>242398</v>
      </c>
    </row>
    <row r="195" spans="2:6" ht="20.25" customHeight="1">
      <c r="B195" s="197" t="s">
        <v>400</v>
      </c>
      <c r="C195" s="198"/>
      <c r="D195" s="188">
        <v>253000</v>
      </c>
      <c r="E195" s="14">
        <v>253000</v>
      </c>
      <c r="F195" s="204">
        <f t="shared" si="8"/>
        <v>506000</v>
      </c>
    </row>
    <row r="196" spans="2:6" ht="20.25" customHeight="1">
      <c r="B196" s="197"/>
      <c r="C196" s="198"/>
      <c r="D196" s="188"/>
      <c r="E196" s="14"/>
      <c r="F196" s="204"/>
    </row>
    <row r="197" spans="2:6" ht="20.25" customHeight="1" thickBot="1">
      <c r="B197" s="199" t="s">
        <v>46</v>
      </c>
      <c r="C197" s="200"/>
      <c r="D197" s="16">
        <f>SUM(D167:D195)</f>
        <v>6469813.050000001</v>
      </c>
      <c r="E197" s="201">
        <f>SUM(E167:E195)</f>
        <v>3620399.56</v>
      </c>
      <c r="F197" s="202">
        <f>D197+E197</f>
        <v>10090212.610000001</v>
      </c>
    </row>
    <row r="198" spans="2:6" ht="20.25" customHeight="1" thickTop="1">
      <c r="B198" s="145"/>
      <c r="D198" s="194"/>
      <c r="E198" s="193"/>
      <c r="F198" s="194"/>
    </row>
    <row r="199" spans="2:6" ht="20.25" customHeight="1">
      <c r="B199" s="145"/>
      <c r="D199" s="194"/>
      <c r="E199" s="193"/>
      <c r="F199" s="194"/>
    </row>
    <row r="200" spans="2:6" ht="20.25" customHeight="1">
      <c r="B200" s="145"/>
      <c r="D200" s="194"/>
      <c r="E200" s="193"/>
      <c r="F200" s="194"/>
    </row>
    <row r="201" spans="2:6" ht="20.25" customHeight="1">
      <c r="B201" s="145"/>
      <c r="D201" s="194"/>
      <c r="E201" s="193"/>
      <c r="F201" s="194"/>
    </row>
    <row r="202" spans="2:6" ht="20.25" customHeight="1">
      <c r="B202" s="145"/>
      <c r="D202" s="194"/>
      <c r="E202" s="193"/>
      <c r="F202" s="194"/>
    </row>
    <row r="203" spans="2:6" ht="20.25" customHeight="1">
      <c r="B203" s="145"/>
      <c r="D203" s="194"/>
      <c r="E203" s="193"/>
      <c r="F203" s="194"/>
    </row>
    <row r="204" spans="2:6" ht="20.25" customHeight="1">
      <c r="B204" s="145"/>
      <c r="D204" s="194"/>
      <c r="E204" s="193"/>
      <c r="F204" s="194"/>
    </row>
    <row r="205" spans="2:6" ht="20.25" customHeight="1">
      <c r="B205" s="145"/>
      <c r="D205" s="194"/>
      <c r="E205" s="193"/>
      <c r="F205" s="194"/>
    </row>
    <row r="206" spans="2:6" ht="20.25" customHeight="1">
      <c r="B206" s="343" t="s">
        <v>112</v>
      </c>
      <c r="C206" s="343"/>
      <c r="D206" s="343"/>
      <c r="E206" s="343"/>
      <c r="F206" s="343"/>
    </row>
    <row r="207" spans="2:6" ht="20.25" customHeight="1">
      <c r="B207" s="8"/>
      <c r="C207" s="8"/>
      <c r="D207" s="8"/>
      <c r="E207" s="8"/>
      <c r="F207" s="8"/>
    </row>
    <row r="208" spans="2:6" ht="20.25" customHeight="1">
      <c r="B208" s="146" t="s">
        <v>123</v>
      </c>
      <c r="C208" s="344" t="s">
        <v>410</v>
      </c>
      <c r="D208" s="344"/>
      <c r="E208" s="176"/>
      <c r="F208" s="177"/>
    </row>
    <row r="209" spans="2:6" ht="20.25" customHeight="1">
      <c r="B209" s="9" t="s">
        <v>78</v>
      </c>
      <c r="C209" s="178" t="s">
        <v>113</v>
      </c>
      <c r="D209" s="9" t="s">
        <v>109</v>
      </c>
      <c r="E209" s="9" t="s">
        <v>111</v>
      </c>
      <c r="F209" s="179" t="s">
        <v>114</v>
      </c>
    </row>
    <row r="210" spans="2:6" ht="23.25" customHeight="1">
      <c r="B210" s="11" t="s">
        <v>110</v>
      </c>
      <c r="C210" s="180">
        <v>429315</v>
      </c>
      <c r="D210" s="12">
        <v>8450</v>
      </c>
      <c r="E210" s="181">
        <v>9450</v>
      </c>
      <c r="F210" s="12">
        <f>C210+D210-E210</f>
        <v>428315</v>
      </c>
    </row>
    <row r="211" spans="2:6" ht="23.25" customHeight="1">
      <c r="B211" s="13" t="s">
        <v>77</v>
      </c>
      <c r="C211" s="182">
        <v>228784.22</v>
      </c>
      <c r="D211" s="14"/>
      <c r="E211" s="183"/>
      <c r="F211" s="14">
        <f aca="true" t="shared" si="9" ref="F211:F226">C211+D211-E211</f>
        <v>228784.22</v>
      </c>
    </row>
    <row r="212" spans="2:6" ht="23.25" customHeight="1">
      <c r="B212" s="13" t="s">
        <v>15</v>
      </c>
      <c r="C212" s="182">
        <v>2976.64</v>
      </c>
      <c r="D212" s="14">
        <v>3515.79</v>
      </c>
      <c r="E212" s="183">
        <v>2976.64</v>
      </c>
      <c r="F212" s="14">
        <f t="shared" si="9"/>
        <v>3515.7900000000004</v>
      </c>
    </row>
    <row r="213" spans="2:6" ht="23.25" customHeight="1">
      <c r="B213" s="13" t="s">
        <v>16</v>
      </c>
      <c r="C213" s="182">
        <v>5647.41</v>
      </c>
      <c r="D213" s="14"/>
      <c r="E213" s="183"/>
      <c r="F213" s="14">
        <f t="shared" si="9"/>
        <v>5647.41</v>
      </c>
    </row>
    <row r="214" spans="2:6" ht="23.25" customHeight="1">
      <c r="B214" s="13" t="s">
        <v>17</v>
      </c>
      <c r="C214" s="182">
        <v>639.93</v>
      </c>
      <c r="D214" s="14">
        <v>1274.06</v>
      </c>
      <c r="E214" s="183"/>
      <c r="F214" s="14">
        <f t="shared" si="9"/>
        <v>1913.9899999999998</v>
      </c>
    </row>
    <row r="215" spans="2:6" ht="23.25" customHeight="1">
      <c r="B215" s="13" t="s">
        <v>141</v>
      </c>
      <c r="C215" s="182">
        <v>225</v>
      </c>
      <c r="D215" s="14"/>
      <c r="E215" s="183"/>
      <c r="F215" s="14">
        <f t="shared" si="9"/>
        <v>225</v>
      </c>
    </row>
    <row r="216" spans="2:6" ht="23.25" customHeight="1">
      <c r="B216" s="13" t="s">
        <v>173</v>
      </c>
      <c r="C216" s="182">
        <v>110.69</v>
      </c>
      <c r="D216" s="14"/>
      <c r="E216" s="183"/>
      <c r="F216" s="14">
        <f t="shared" si="9"/>
        <v>110.69</v>
      </c>
    </row>
    <row r="217" spans="2:6" ht="23.25" customHeight="1">
      <c r="B217" s="72" t="s">
        <v>204</v>
      </c>
      <c r="C217" s="14">
        <v>13000</v>
      </c>
      <c r="D217" s="14"/>
      <c r="E217" s="183"/>
      <c r="F217" s="14">
        <f t="shared" si="9"/>
        <v>13000</v>
      </c>
    </row>
    <row r="218" spans="2:6" ht="23.25" customHeight="1">
      <c r="B218" s="13" t="s">
        <v>205</v>
      </c>
      <c r="C218" s="182">
        <v>150500</v>
      </c>
      <c r="D218" s="14"/>
      <c r="E218" s="183"/>
      <c r="F218" s="14">
        <f t="shared" si="9"/>
        <v>150500</v>
      </c>
    </row>
    <row r="219" spans="2:6" ht="23.25" customHeight="1">
      <c r="B219" s="13" t="s">
        <v>206</v>
      </c>
      <c r="C219" s="182">
        <v>14400</v>
      </c>
      <c r="D219" s="14"/>
      <c r="E219" s="183"/>
      <c r="F219" s="14">
        <f t="shared" si="9"/>
        <v>14400</v>
      </c>
    </row>
    <row r="220" spans="2:6" ht="23.25" customHeight="1">
      <c r="B220" s="13" t="s">
        <v>207</v>
      </c>
      <c r="C220" s="182">
        <v>743.25</v>
      </c>
      <c r="D220" s="14"/>
      <c r="E220" s="183"/>
      <c r="F220" s="14">
        <f t="shared" si="9"/>
        <v>743.25</v>
      </c>
    </row>
    <row r="221" spans="2:6" ht="23.25" customHeight="1">
      <c r="B221" s="13" t="s">
        <v>168</v>
      </c>
      <c r="C221" s="279">
        <v>0</v>
      </c>
      <c r="D221" s="14">
        <v>7283</v>
      </c>
      <c r="E221" s="183">
        <v>7283</v>
      </c>
      <c r="F221" s="14">
        <f t="shared" si="9"/>
        <v>0</v>
      </c>
    </row>
    <row r="222" spans="2:6" ht="23.25" customHeight="1">
      <c r="B222" s="13" t="s">
        <v>175</v>
      </c>
      <c r="C222" s="184">
        <v>0</v>
      </c>
      <c r="D222" s="14"/>
      <c r="E222" s="183"/>
      <c r="F222" s="14">
        <f t="shared" si="9"/>
        <v>0</v>
      </c>
    </row>
    <row r="223" spans="2:6" ht="23.25" customHeight="1">
      <c r="B223" s="13" t="s">
        <v>223</v>
      </c>
      <c r="C223" s="184"/>
      <c r="D223" s="209">
        <v>74435</v>
      </c>
      <c r="E223" s="209">
        <v>74435</v>
      </c>
      <c r="F223" s="14">
        <f t="shared" si="9"/>
        <v>0</v>
      </c>
    </row>
    <row r="224" spans="2:6" ht="23.25" customHeight="1">
      <c r="B224" s="13" t="s">
        <v>224</v>
      </c>
      <c r="C224" s="184"/>
      <c r="D224" s="209">
        <v>46000</v>
      </c>
      <c r="E224" s="209">
        <v>46000</v>
      </c>
      <c r="F224" s="14">
        <f t="shared" si="9"/>
        <v>0</v>
      </c>
    </row>
    <row r="225" spans="2:6" ht="23.25" customHeight="1">
      <c r="B225" s="13" t="s">
        <v>225</v>
      </c>
      <c r="C225" s="184"/>
      <c r="D225" s="209">
        <v>36674</v>
      </c>
      <c r="E225" s="209">
        <v>36674</v>
      </c>
      <c r="F225" s="14">
        <f t="shared" si="9"/>
        <v>0</v>
      </c>
    </row>
    <row r="226" spans="2:6" ht="23.25" customHeight="1">
      <c r="B226" s="13" t="s">
        <v>226</v>
      </c>
      <c r="C226" s="184"/>
      <c r="D226" s="209">
        <v>27351</v>
      </c>
      <c r="E226" s="209">
        <v>27351</v>
      </c>
      <c r="F226" s="191">
        <f t="shared" si="9"/>
        <v>0</v>
      </c>
    </row>
    <row r="227" spans="2:6" ht="23.25" customHeight="1" thickBot="1">
      <c r="B227" s="208" t="s">
        <v>46</v>
      </c>
      <c r="C227" s="15">
        <f>SUM(C210:C222)</f>
        <v>846342.14</v>
      </c>
      <c r="D227" s="15">
        <f>SUM(D210:D226)</f>
        <v>204982.85</v>
      </c>
      <c r="E227" s="186">
        <f>SUM(E210:E226)</f>
        <v>204169.64</v>
      </c>
      <c r="F227" s="192">
        <f>SUM(F210:F226)</f>
        <v>847155.35</v>
      </c>
    </row>
    <row r="228" ht="23.25" customHeight="1" thickTop="1"/>
    <row r="229" spans="2:6" ht="23.25" customHeight="1">
      <c r="B229" s="146" t="s">
        <v>18</v>
      </c>
      <c r="C229" s="344" t="s">
        <v>410</v>
      </c>
      <c r="D229" s="344"/>
      <c r="E229" s="176"/>
      <c r="F229" s="177"/>
    </row>
    <row r="230" spans="2:6" ht="23.25" customHeight="1">
      <c r="B230" s="9" t="s">
        <v>78</v>
      </c>
      <c r="C230" s="178" t="s">
        <v>113</v>
      </c>
      <c r="D230" s="9" t="s">
        <v>109</v>
      </c>
      <c r="E230" s="9" t="s">
        <v>111</v>
      </c>
      <c r="F230" s="178" t="s">
        <v>114</v>
      </c>
    </row>
    <row r="231" spans="2:6" ht="23.25" customHeight="1">
      <c r="B231" s="189" t="s">
        <v>210</v>
      </c>
      <c r="C231" s="182">
        <v>215000</v>
      </c>
      <c r="D231" s="190"/>
      <c r="E231" s="182"/>
      <c r="F231" s="14">
        <f aca="true" t="shared" si="10" ref="F231:F241">C231-E231</f>
        <v>215000</v>
      </c>
    </row>
    <row r="232" spans="2:6" ht="23.25" customHeight="1">
      <c r="B232" s="189" t="s">
        <v>211</v>
      </c>
      <c r="C232" s="182">
        <v>170000</v>
      </c>
      <c r="D232" s="190"/>
      <c r="E232" s="182"/>
      <c r="F232" s="14">
        <f t="shared" si="10"/>
        <v>170000</v>
      </c>
    </row>
    <row r="233" spans="2:6" ht="23.25" customHeight="1">
      <c r="B233" s="189" t="s">
        <v>213</v>
      </c>
      <c r="C233" s="182">
        <v>0</v>
      </c>
      <c r="D233" s="190"/>
      <c r="E233" s="182"/>
      <c r="F233" s="14">
        <f t="shared" si="10"/>
        <v>0</v>
      </c>
    </row>
    <row r="234" spans="2:6" ht="23.25" customHeight="1">
      <c r="B234" s="189" t="s">
        <v>214</v>
      </c>
      <c r="C234" s="182">
        <v>0</v>
      </c>
      <c r="D234" s="190"/>
      <c r="E234" s="182"/>
      <c r="F234" s="14">
        <f t="shared" si="10"/>
        <v>0</v>
      </c>
    </row>
    <row r="235" spans="2:6" ht="23.25" customHeight="1">
      <c r="B235" s="189" t="s">
        <v>215</v>
      </c>
      <c r="C235" s="182">
        <v>0</v>
      </c>
      <c r="D235" s="190"/>
      <c r="E235" s="182"/>
      <c r="F235" s="14">
        <f t="shared" si="10"/>
        <v>0</v>
      </c>
    </row>
    <row r="236" spans="2:6" ht="23.25" customHeight="1">
      <c r="B236" s="189" t="s">
        <v>187</v>
      </c>
      <c r="C236" s="182">
        <v>164.5</v>
      </c>
      <c r="D236" s="14"/>
      <c r="E236" s="182"/>
      <c r="F236" s="14">
        <f t="shared" si="10"/>
        <v>164.5</v>
      </c>
    </row>
    <row r="237" spans="2:6" ht="23.25" customHeight="1">
      <c r="B237" s="189" t="s">
        <v>187</v>
      </c>
      <c r="C237" s="182"/>
      <c r="D237" s="14"/>
      <c r="E237" s="182"/>
      <c r="F237" s="14">
        <f t="shared" si="10"/>
        <v>0</v>
      </c>
    </row>
    <row r="238" spans="2:6" ht="23.25" customHeight="1">
      <c r="B238" s="189" t="s">
        <v>218</v>
      </c>
      <c r="C238" s="182"/>
      <c r="D238" s="14"/>
      <c r="E238" s="182"/>
      <c r="F238" s="14">
        <f t="shared" si="10"/>
        <v>0</v>
      </c>
    </row>
    <row r="239" spans="2:6" ht="23.25" customHeight="1">
      <c r="B239" s="189" t="s">
        <v>219</v>
      </c>
      <c r="C239" s="182"/>
      <c r="D239" s="14"/>
      <c r="E239" s="182"/>
      <c r="F239" s="14">
        <f t="shared" si="10"/>
        <v>0</v>
      </c>
    </row>
    <row r="240" spans="2:6" ht="23.25" customHeight="1">
      <c r="B240" s="189" t="s">
        <v>220</v>
      </c>
      <c r="C240" s="182"/>
      <c r="D240" s="14"/>
      <c r="E240" s="182"/>
      <c r="F240" s="14">
        <f t="shared" si="10"/>
        <v>0</v>
      </c>
    </row>
    <row r="241" spans="2:6" ht="23.25" customHeight="1">
      <c r="B241" s="189" t="s">
        <v>221</v>
      </c>
      <c r="C241" s="182"/>
      <c r="D241" s="14"/>
      <c r="E241" s="182"/>
      <c r="F241" s="14">
        <f t="shared" si="10"/>
        <v>0</v>
      </c>
    </row>
    <row r="242" spans="2:6" ht="23.25" customHeight="1" thickBot="1">
      <c r="B242" s="185" t="s">
        <v>46</v>
      </c>
      <c r="C242" s="15">
        <f>SUM(C231:C241)</f>
        <v>385164.5</v>
      </c>
      <c r="D242" s="15">
        <f>SUM(D236:D240)</f>
        <v>0</v>
      </c>
      <c r="E242" s="186">
        <f>SUM(E231:E241)</f>
        <v>0</v>
      </c>
      <c r="F242" s="178">
        <f>SUM(F231:F241)</f>
        <v>385164.5</v>
      </c>
    </row>
    <row r="243" spans="2:6" ht="23.25" customHeight="1" thickTop="1">
      <c r="B243" s="145"/>
      <c r="D243" s="182"/>
      <c r="E243" s="182"/>
      <c r="F243" s="194"/>
    </row>
    <row r="247" spans="2:6" ht="27" customHeight="1">
      <c r="B247" s="8" t="s">
        <v>79</v>
      </c>
      <c r="C247" s="344" t="s">
        <v>410</v>
      </c>
      <c r="D247" s="344"/>
      <c r="E247" s="193"/>
      <c r="F247" s="194"/>
    </row>
    <row r="248" spans="2:6" ht="20.25" customHeight="1">
      <c r="B248" s="345" t="s">
        <v>78</v>
      </c>
      <c r="C248" s="345"/>
      <c r="D248" s="9" t="s">
        <v>113</v>
      </c>
      <c r="E248" s="17" t="s">
        <v>109</v>
      </c>
      <c r="F248" s="178" t="s">
        <v>114</v>
      </c>
    </row>
    <row r="249" spans="2:6" ht="20.25" customHeight="1">
      <c r="B249" s="195" t="s">
        <v>19</v>
      </c>
      <c r="C249" s="196"/>
      <c r="D249" s="188">
        <v>10018.32</v>
      </c>
      <c r="E249" s="12">
        <v>19942.44</v>
      </c>
      <c r="F249" s="204">
        <f>E249+D249</f>
        <v>29960.76</v>
      </c>
    </row>
    <row r="250" spans="2:6" ht="20.25" customHeight="1">
      <c r="B250" s="197" t="s">
        <v>177</v>
      </c>
      <c r="C250" s="198"/>
      <c r="D250" s="188"/>
      <c r="E250" s="14">
        <v>2000</v>
      </c>
      <c r="F250" s="204">
        <f>E250+D250</f>
        <v>2000</v>
      </c>
    </row>
    <row r="251" spans="2:6" ht="20.25" customHeight="1">
      <c r="B251" s="197" t="s">
        <v>172</v>
      </c>
      <c r="C251" s="198"/>
      <c r="D251" s="188">
        <v>1275.5</v>
      </c>
      <c r="E251" s="14">
        <v>21070.25</v>
      </c>
      <c r="F251" s="204">
        <f aca="true" t="shared" si="11" ref="F251:F274">E251+D251</f>
        <v>22345.75</v>
      </c>
    </row>
    <row r="252" spans="2:6" ht="20.25" customHeight="1">
      <c r="B252" s="197" t="s">
        <v>23</v>
      </c>
      <c r="C252" s="198"/>
      <c r="D252" s="188">
        <v>3377</v>
      </c>
      <c r="E252" s="14">
        <v>567</v>
      </c>
      <c r="F252" s="204">
        <f t="shared" si="11"/>
        <v>3944</v>
      </c>
    </row>
    <row r="253" spans="2:6" ht="20.25" customHeight="1">
      <c r="B253" s="197" t="s">
        <v>169</v>
      </c>
      <c r="C253" s="198"/>
      <c r="D253" s="188">
        <v>50</v>
      </c>
      <c r="E253" s="14">
        <v>100</v>
      </c>
      <c r="F253" s="204">
        <f t="shared" si="11"/>
        <v>150</v>
      </c>
    </row>
    <row r="254" spans="2:6" ht="20.25" customHeight="1">
      <c r="B254" s="197" t="s">
        <v>188</v>
      </c>
      <c r="C254" s="198"/>
      <c r="D254" s="188">
        <v>6900</v>
      </c>
      <c r="E254" s="14"/>
      <c r="F254" s="204">
        <f t="shared" si="11"/>
        <v>6900</v>
      </c>
    </row>
    <row r="255" spans="2:6" ht="20.25" customHeight="1">
      <c r="B255" s="197" t="s">
        <v>227</v>
      </c>
      <c r="C255" s="198"/>
      <c r="D255" s="188">
        <v>97</v>
      </c>
      <c r="E255" s="14">
        <v>659.6</v>
      </c>
      <c r="F255" s="204">
        <f t="shared" si="11"/>
        <v>756.6</v>
      </c>
    </row>
    <row r="256" spans="2:6" ht="20.25" customHeight="1">
      <c r="B256" s="236" t="s">
        <v>198</v>
      </c>
      <c r="C256" s="198"/>
      <c r="D256" s="188">
        <v>500</v>
      </c>
      <c r="E256" s="14"/>
      <c r="F256" s="204">
        <f t="shared" si="11"/>
        <v>500</v>
      </c>
    </row>
    <row r="257" spans="2:6" ht="20.25" customHeight="1">
      <c r="B257" s="197" t="s">
        <v>27</v>
      </c>
      <c r="C257" s="198"/>
      <c r="D257" s="188">
        <v>5200</v>
      </c>
      <c r="E257" s="14"/>
      <c r="F257" s="204">
        <f t="shared" si="11"/>
        <v>5200</v>
      </c>
    </row>
    <row r="258" spans="2:6" ht="20.25" customHeight="1">
      <c r="B258" s="197" t="s">
        <v>43</v>
      </c>
      <c r="C258" s="198"/>
      <c r="D258" s="188">
        <v>8169.4</v>
      </c>
      <c r="E258" s="14"/>
      <c r="F258" s="204">
        <f t="shared" si="11"/>
        <v>8169.4</v>
      </c>
    </row>
    <row r="259" spans="2:6" ht="20.25" customHeight="1">
      <c r="B259" s="197" t="s">
        <v>409</v>
      </c>
      <c r="C259" s="198"/>
      <c r="D259" s="188"/>
      <c r="E259" s="14">
        <v>11022.62</v>
      </c>
      <c r="F259" s="204">
        <f t="shared" si="11"/>
        <v>11022.62</v>
      </c>
    </row>
    <row r="260" spans="2:6" ht="20.25" customHeight="1">
      <c r="B260" s="197" t="s">
        <v>171</v>
      </c>
      <c r="C260" s="198"/>
      <c r="D260" s="188">
        <v>2212799.9</v>
      </c>
      <c r="E260" s="14">
        <v>746545.91</v>
      </c>
      <c r="F260" s="204">
        <f t="shared" si="11"/>
        <v>2959345.81</v>
      </c>
    </row>
    <row r="261" spans="2:6" ht="20.25" customHeight="1">
      <c r="B261" s="197" t="s">
        <v>10</v>
      </c>
      <c r="C261" s="198"/>
      <c r="D261" s="188">
        <v>109378</v>
      </c>
      <c r="E261" s="14">
        <v>31861</v>
      </c>
      <c r="F261" s="204">
        <f t="shared" si="11"/>
        <v>141239</v>
      </c>
    </row>
    <row r="262" spans="2:6" ht="20.25" customHeight="1">
      <c r="B262" s="197" t="s">
        <v>176</v>
      </c>
      <c r="C262" s="198"/>
      <c r="D262" s="188"/>
      <c r="E262" s="14"/>
      <c r="F262" s="204">
        <f t="shared" si="11"/>
        <v>0</v>
      </c>
    </row>
    <row r="263" spans="2:6" ht="20.25" customHeight="1">
      <c r="B263" s="197" t="s">
        <v>9</v>
      </c>
      <c r="C263" s="198"/>
      <c r="D263" s="188">
        <v>478334.03</v>
      </c>
      <c r="E263" s="14">
        <v>182278.21</v>
      </c>
      <c r="F263" s="204">
        <f t="shared" si="11"/>
        <v>660612.24</v>
      </c>
    </row>
    <row r="264" spans="2:6" ht="20.25" customHeight="1">
      <c r="B264" s="197" t="s">
        <v>24</v>
      </c>
      <c r="C264" s="198"/>
      <c r="D264" s="188">
        <v>21856.97</v>
      </c>
      <c r="E264" s="14">
        <v>8395.03</v>
      </c>
      <c r="F264" s="204">
        <f t="shared" si="11"/>
        <v>30252</v>
      </c>
    </row>
    <row r="265" spans="2:6" ht="20.25" customHeight="1">
      <c r="B265" s="197" t="s">
        <v>20</v>
      </c>
      <c r="C265" s="198"/>
      <c r="D265" s="188">
        <v>235638.41</v>
      </c>
      <c r="E265" s="14">
        <v>50934.64</v>
      </c>
      <c r="F265" s="204">
        <f t="shared" si="11"/>
        <v>286573.05</v>
      </c>
    </row>
    <row r="266" spans="2:6" ht="20.25" customHeight="1">
      <c r="B266" s="197" t="s">
        <v>21</v>
      </c>
      <c r="C266" s="198"/>
      <c r="D266" s="188">
        <v>562147</v>
      </c>
      <c r="E266" s="14">
        <v>126503.92</v>
      </c>
      <c r="F266" s="204">
        <f t="shared" si="11"/>
        <v>688650.92</v>
      </c>
    </row>
    <row r="267" spans="2:6" ht="20.25" customHeight="1">
      <c r="B267" s="197" t="s">
        <v>22</v>
      </c>
      <c r="C267" s="198"/>
      <c r="D267" s="188">
        <v>10584.08</v>
      </c>
      <c r="E267" s="14"/>
      <c r="F267" s="204">
        <f t="shared" si="11"/>
        <v>10584.08</v>
      </c>
    </row>
    <row r="268" spans="2:6" ht="20.25" customHeight="1">
      <c r="B268" s="197" t="s">
        <v>28</v>
      </c>
      <c r="C268" s="198"/>
      <c r="D268" s="188">
        <v>2663261</v>
      </c>
      <c r="E268" s="14"/>
      <c r="F268" s="204">
        <f t="shared" si="11"/>
        <v>2663261</v>
      </c>
    </row>
    <row r="269" spans="2:6" ht="20.25" customHeight="1">
      <c r="B269" s="197" t="s">
        <v>393</v>
      </c>
      <c r="C269" s="198"/>
      <c r="D269" s="188">
        <v>2131600</v>
      </c>
      <c r="E269" s="14"/>
      <c r="F269" s="204">
        <f t="shared" si="11"/>
        <v>2131600</v>
      </c>
    </row>
    <row r="270" spans="2:6" ht="20.25" customHeight="1">
      <c r="B270" s="197" t="s">
        <v>394</v>
      </c>
      <c r="C270" s="198"/>
      <c r="D270" s="188">
        <v>350400</v>
      </c>
      <c r="E270" s="14"/>
      <c r="F270" s="204">
        <f t="shared" si="11"/>
        <v>350400</v>
      </c>
    </row>
    <row r="271" spans="2:6" ht="20.25" customHeight="1">
      <c r="B271" s="197" t="s">
        <v>395</v>
      </c>
      <c r="C271" s="198"/>
      <c r="D271" s="188">
        <v>12000</v>
      </c>
      <c r="E271" s="14"/>
      <c r="F271" s="204">
        <f t="shared" si="11"/>
        <v>12000</v>
      </c>
    </row>
    <row r="272" spans="2:6" ht="20.25" customHeight="1">
      <c r="B272" s="197" t="s">
        <v>396</v>
      </c>
      <c r="C272" s="198"/>
      <c r="D272" s="188">
        <v>213900</v>
      </c>
      <c r="E272" s="14"/>
      <c r="F272" s="204">
        <f t="shared" si="11"/>
        <v>213900</v>
      </c>
    </row>
    <row r="273" spans="2:6" ht="20.25" customHeight="1">
      <c r="B273" s="197" t="s">
        <v>402</v>
      </c>
      <c r="C273" s="198"/>
      <c r="D273" s="188">
        <v>100300</v>
      </c>
      <c r="E273" s="14"/>
      <c r="F273" s="204">
        <f t="shared" si="11"/>
        <v>100300</v>
      </c>
    </row>
    <row r="274" spans="2:6" ht="20.25" customHeight="1">
      <c r="B274" s="197" t="s">
        <v>397</v>
      </c>
      <c r="C274" s="198"/>
      <c r="D274" s="188">
        <v>56528</v>
      </c>
      <c r="E274" s="14"/>
      <c r="F274" s="204">
        <f t="shared" si="11"/>
        <v>56528</v>
      </c>
    </row>
    <row r="275" spans="2:6" ht="20.25" customHeight="1">
      <c r="B275" s="197" t="s">
        <v>398</v>
      </c>
      <c r="C275" s="198"/>
      <c r="D275" s="188">
        <v>147500</v>
      </c>
      <c r="E275" s="14"/>
      <c r="F275" s="204">
        <f>E275+D275</f>
        <v>147500</v>
      </c>
    </row>
    <row r="276" spans="2:6" ht="20.25" customHeight="1">
      <c r="B276" s="197" t="s">
        <v>399</v>
      </c>
      <c r="C276" s="198"/>
      <c r="D276" s="188">
        <v>242398</v>
      </c>
      <c r="E276" s="14"/>
      <c r="F276" s="204">
        <f>E276+D276</f>
        <v>242398</v>
      </c>
    </row>
    <row r="277" spans="2:6" ht="20.25" customHeight="1">
      <c r="B277" s="197" t="s">
        <v>400</v>
      </c>
      <c r="C277" s="198"/>
      <c r="D277" s="188">
        <v>506000</v>
      </c>
      <c r="E277" s="14"/>
      <c r="F277" s="204">
        <f>E277+D277</f>
        <v>506000</v>
      </c>
    </row>
    <row r="278" spans="2:6" ht="20.25" customHeight="1">
      <c r="B278" s="197"/>
      <c r="C278" s="198"/>
      <c r="D278" s="188"/>
      <c r="E278" s="14"/>
      <c r="F278" s="204"/>
    </row>
    <row r="279" spans="2:6" ht="20.25" customHeight="1" thickBot="1">
      <c r="B279" s="199" t="s">
        <v>46</v>
      </c>
      <c r="C279" s="200"/>
      <c r="D279" s="16">
        <f>SUM(D249:D277)</f>
        <v>10090212.610000001</v>
      </c>
      <c r="E279" s="201">
        <f>SUM(E249:E277)</f>
        <v>1201880.6199999999</v>
      </c>
      <c r="F279" s="202">
        <f>D279+E279</f>
        <v>11292093.23</v>
      </c>
    </row>
    <row r="280" ht="20.25" customHeight="1" thickTop="1"/>
    <row r="284" spans="2:6" ht="20.25" customHeight="1">
      <c r="B284" s="343" t="s">
        <v>112</v>
      </c>
      <c r="C284" s="343"/>
      <c r="D284" s="343"/>
      <c r="E284" s="343"/>
      <c r="F284" s="343"/>
    </row>
    <row r="285" spans="2:6" ht="20.25" customHeight="1">
      <c r="B285" s="8"/>
      <c r="C285" s="8"/>
      <c r="D285" s="8"/>
      <c r="E285" s="8"/>
      <c r="F285" s="8"/>
    </row>
    <row r="286" spans="2:6" ht="20.25" customHeight="1">
      <c r="B286" s="146" t="s">
        <v>123</v>
      </c>
      <c r="C286" s="344" t="s">
        <v>415</v>
      </c>
      <c r="D286" s="344"/>
      <c r="E286" s="176"/>
      <c r="F286" s="177"/>
    </row>
    <row r="287" spans="2:6" ht="20.25" customHeight="1">
      <c r="B287" s="9" t="s">
        <v>78</v>
      </c>
      <c r="C287" s="178" t="s">
        <v>113</v>
      </c>
      <c r="D287" s="9" t="s">
        <v>109</v>
      </c>
      <c r="E287" s="9" t="s">
        <v>111</v>
      </c>
      <c r="F287" s="179" t="s">
        <v>114</v>
      </c>
    </row>
    <row r="288" spans="2:6" ht="20.25" customHeight="1">
      <c r="B288" s="11" t="s">
        <v>110</v>
      </c>
      <c r="C288" s="180">
        <v>428315</v>
      </c>
      <c r="D288" s="12">
        <v>11600</v>
      </c>
      <c r="E288" s="181"/>
      <c r="F288" s="12">
        <f>C288+D288-E288</f>
        <v>439915</v>
      </c>
    </row>
    <row r="289" spans="2:6" ht="20.25" customHeight="1">
      <c r="B289" s="13" t="s">
        <v>77</v>
      </c>
      <c r="C289" s="182">
        <v>228784.22</v>
      </c>
      <c r="D289" s="14"/>
      <c r="E289" s="183"/>
      <c r="F289" s="14">
        <f aca="true" t="shared" si="12" ref="F289:F303">C289+D289-E289</f>
        <v>228784.22</v>
      </c>
    </row>
    <row r="290" spans="2:6" ht="20.25" customHeight="1">
      <c r="B290" s="13" t="s">
        <v>15</v>
      </c>
      <c r="C290" s="14">
        <v>3515.79</v>
      </c>
      <c r="D290" s="188">
        <v>8965.37</v>
      </c>
      <c r="E290" s="14">
        <v>3515.79</v>
      </c>
      <c r="F290" s="14">
        <f>C290+D290-E290</f>
        <v>8965.369999999999</v>
      </c>
    </row>
    <row r="291" spans="2:6" ht="20.25" customHeight="1">
      <c r="B291" s="13" t="s">
        <v>16</v>
      </c>
      <c r="C291" s="182">
        <v>5647.41</v>
      </c>
      <c r="D291" s="14"/>
      <c r="E291" s="183"/>
      <c r="F291" s="14">
        <f t="shared" si="12"/>
        <v>5647.41</v>
      </c>
    </row>
    <row r="292" spans="2:6" ht="20.25" customHeight="1">
      <c r="B292" s="13" t="s">
        <v>17</v>
      </c>
      <c r="C292" s="182">
        <v>1913.99</v>
      </c>
      <c r="D292" s="14">
        <v>356.5</v>
      </c>
      <c r="E292" s="183"/>
      <c r="F292" s="14">
        <f t="shared" si="12"/>
        <v>2270.49</v>
      </c>
    </row>
    <row r="293" spans="2:6" ht="20.25" customHeight="1">
      <c r="B293" s="13" t="s">
        <v>141</v>
      </c>
      <c r="C293" s="182">
        <v>225</v>
      </c>
      <c r="D293" s="14"/>
      <c r="E293" s="183"/>
      <c r="F293" s="14">
        <f t="shared" si="12"/>
        <v>225</v>
      </c>
    </row>
    <row r="294" spans="2:6" ht="20.25" customHeight="1">
      <c r="B294" s="13" t="s">
        <v>173</v>
      </c>
      <c r="C294" s="182">
        <v>110.69</v>
      </c>
      <c r="D294" s="14"/>
      <c r="E294" s="183"/>
      <c r="F294" s="14">
        <f t="shared" si="12"/>
        <v>110.69</v>
      </c>
    </row>
    <row r="295" spans="2:6" ht="20.25" customHeight="1">
      <c r="B295" s="72" t="s">
        <v>204</v>
      </c>
      <c r="C295" s="14">
        <v>13000</v>
      </c>
      <c r="D295" s="14"/>
      <c r="E295" s="183"/>
      <c r="F295" s="14">
        <f t="shared" si="12"/>
        <v>13000</v>
      </c>
    </row>
    <row r="296" spans="2:6" ht="20.25" customHeight="1">
      <c r="B296" s="13" t="s">
        <v>205</v>
      </c>
      <c r="C296" s="182">
        <v>150500</v>
      </c>
      <c r="D296" s="14"/>
      <c r="E296" s="183"/>
      <c r="F296" s="14">
        <f t="shared" si="12"/>
        <v>150500</v>
      </c>
    </row>
    <row r="297" spans="2:6" ht="20.25" customHeight="1">
      <c r="B297" s="13" t="s">
        <v>206</v>
      </c>
      <c r="C297" s="182">
        <v>14400</v>
      </c>
      <c r="D297" s="14"/>
      <c r="E297" s="183"/>
      <c r="F297" s="14">
        <f t="shared" si="12"/>
        <v>14400</v>
      </c>
    </row>
    <row r="298" spans="2:6" ht="20.25" customHeight="1">
      <c r="B298" s="13" t="s">
        <v>207</v>
      </c>
      <c r="C298" s="182">
        <v>743.25</v>
      </c>
      <c r="D298" s="14"/>
      <c r="E298" s="183"/>
      <c r="F298" s="14">
        <f t="shared" si="12"/>
        <v>743.25</v>
      </c>
    </row>
    <row r="299" spans="2:6" ht="20.25" customHeight="1">
      <c r="B299" s="13" t="s">
        <v>168</v>
      </c>
      <c r="C299" s="279">
        <v>0</v>
      </c>
      <c r="D299" s="14">
        <v>7283</v>
      </c>
      <c r="E299" s="183">
        <v>7283</v>
      </c>
      <c r="F299" s="14">
        <f t="shared" si="12"/>
        <v>0</v>
      </c>
    </row>
    <row r="300" spans="2:6" ht="20.25" customHeight="1">
      <c r="B300" s="13" t="s">
        <v>223</v>
      </c>
      <c r="C300" s="184"/>
      <c r="D300" s="209">
        <v>67877</v>
      </c>
      <c r="E300" s="209">
        <v>67877</v>
      </c>
      <c r="F300" s="14">
        <f t="shared" si="12"/>
        <v>0</v>
      </c>
    </row>
    <row r="301" spans="2:6" ht="20.25" customHeight="1">
      <c r="B301" s="13" t="s">
        <v>224</v>
      </c>
      <c r="C301" s="184"/>
      <c r="D301" s="209">
        <v>43000</v>
      </c>
      <c r="E301" s="209">
        <v>43000</v>
      </c>
      <c r="F301" s="14">
        <f t="shared" si="12"/>
        <v>0</v>
      </c>
    </row>
    <row r="302" spans="2:6" ht="20.25" customHeight="1">
      <c r="B302" s="13" t="s">
        <v>225</v>
      </c>
      <c r="C302" s="184"/>
      <c r="D302" s="209">
        <v>35572</v>
      </c>
      <c r="E302" s="209">
        <v>35572</v>
      </c>
      <c r="F302" s="14">
        <f t="shared" si="12"/>
        <v>0</v>
      </c>
    </row>
    <row r="303" spans="2:6" ht="20.25" customHeight="1">
      <c r="B303" s="13" t="s">
        <v>226</v>
      </c>
      <c r="C303" s="184"/>
      <c r="D303" s="209">
        <v>25651</v>
      </c>
      <c r="E303" s="209">
        <v>25651</v>
      </c>
      <c r="F303" s="191">
        <f t="shared" si="12"/>
        <v>0</v>
      </c>
    </row>
    <row r="304" spans="2:6" ht="20.25" customHeight="1" thickBot="1">
      <c r="B304" s="208" t="s">
        <v>46</v>
      </c>
      <c r="C304" s="15">
        <f>SUM(C288:C299)</f>
        <v>847155.35</v>
      </c>
      <c r="D304" s="15">
        <f>SUM(D288:D303)</f>
        <v>200304.87</v>
      </c>
      <c r="E304" s="186">
        <f>SUM(E288:E303)</f>
        <v>182898.79</v>
      </c>
      <c r="F304" s="192">
        <f>SUM(F288:F303)</f>
        <v>864561.4299999999</v>
      </c>
    </row>
    <row r="305" ht="20.25" customHeight="1" thickTop="1"/>
    <row r="306" spans="2:6" ht="20.25" customHeight="1">
      <c r="B306" s="146" t="s">
        <v>18</v>
      </c>
      <c r="C306" s="344" t="s">
        <v>415</v>
      </c>
      <c r="D306" s="344"/>
      <c r="E306" s="176"/>
      <c r="F306" s="177"/>
    </row>
    <row r="307" spans="2:6" ht="20.25" customHeight="1">
      <c r="B307" s="9" t="s">
        <v>78</v>
      </c>
      <c r="C307" s="178" t="s">
        <v>113</v>
      </c>
      <c r="D307" s="9" t="s">
        <v>109</v>
      </c>
      <c r="E307" s="9" t="s">
        <v>111</v>
      </c>
      <c r="F307" s="178" t="s">
        <v>114</v>
      </c>
    </row>
    <row r="308" spans="2:6" ht="20.25" customHeight="1">
      <c r="B308" s="189" t="s">
        <v>210</v>
      </c>
      <c r="C308" s="182">
        <v>215000</v>
      </c>
      <c r="D308" s="190"/>
      <c r="E308" s="182">
        <v>213500</v>
      </c>
      <c r="F308" s="14">
        <f aca="true" t="shared" si="13" ref="F308:F318">C308-E308</f>
        <v>1500</v>
      </c>
    </row>
    <row r="309" spans="2:6" ht="20.25" customHeight="1">
      <c r="B309" s="189" t="s">
        <v>211</v>
      </c>
      <c r="C309" s="182">
        <v>170000</v>
      </c>
      <c r="D309" s="190"/>
      <c r="E309" s="182">
        <v>169000</v>
      </c>
      <c r="F309" s="14">
        <f t="shared" si="13"/>
        <v>1000</v>
      </c>
    </row>
    <row r="310" spans="2:6" ht="20.25" customHeight="1">
      <c r="B310" s="189" t="s">
        <v>213</v>
      </c>
      <c r="C310" s="182">
        <v>0</v>
      </c>
      <c r="D310" s="190"/>
      <c r="E310" s="182"/>
      <c r="F310" s="14">
        <f t="shared" si="13"/>
        <v>0</v>
      </c>
    </row>
    <row r="311" spans="2:6" ht="20.25" customHeight="1">
      <c r="B311" s="189" t="s">
        <v>214</v>
      </c>
      <c r="C311" s="182">
        <v>0</v>
      </c>
      <c r="D311" s="190"/>
      <c r="E311" s="182"/>
      <c r="F311" s="14">
        <f t="shared" si="13"/>
        <v>0</v>
      </c>
    </row>
    <row r="312" spans="2:6" ht="20.25" customHeight="1">
      <c r="B312" s="189" t="s">
        <v>215</v>
      </c>
      <c r="C312" s="182">
        <v>0</v>
      </c>
      <c r="D312" s="190"/>
      <c r="E312" s="182"/>
      <c r="F312" s="14">
        <f t="shared" si="13"/>
        <v>0</v>
      </c>
    </row>
    <row r="313" spans="2:6" ht="20.25" customHeight="1">
      <c r="B313" s="189" t="s">
        <v>187</v>
      </c>
      <c r="C313" s="182">
        <v>164.5</v>
      </c>
      <c r="D313" s="14"/>
      <c r="E313" s="182"/>
      <c r="F313" s="14">
        <f t="shared" si="13"/>
        <v>164.5</v>
      </c>
    </row>
    <row r="314" spans="2:6" ht="20.25" customHeight="1">
      <c r="B314" s="189" t="s">
        <v>187</v>
      </c>
      <c r="C314" s="182"/>
      <c r="D314" s="14"/>
      <c r="E314" s="182"/>
      <c r="F314" s="14">
        <f t="shared" si="13"/>
        <v>0</v>
      </c>
    </row>
    <row r="315" spans="2:6" ht="20.25" customHeight="1">
      <c r="B315" s="189" t="s">
        <v>218</v>
      </c>
      <c r="C315" s="182"/>
      <c r="D315" s="14"/>
      <c r="E315" s="182"/>
      <c r="F315" s="14">
        <f t="shared" si="13"/>
        <v>0</v>
      </c>
    </row>
    <row r="316" spans="2:6" ht="20.25" customHeight="1">
      <c r="B316" s="189" t="s">
        <v>219</v>
      </c>
      <c r="C316" s="182"/>
      <c r="D316" s="14"/>
      <c r="E316" s="182"/>
      <c r="F316" s="14">
        <f t="shared" si="13"/>
        <v>0</v>
      </c>
    </row>
    <row r="317" spans="2:6" ht="20.25" customHeight="1">
      <c r="B317" s="189" t="s">
        <v>220</v>
      </c>
      <c r="C317" s="182"/>
      <c r="D317" s="14"/>
      <c r="E317" s="182"/>
      <c r="F317" s="14">
        <f t="shared" si="13"/>
        <v>0</v>
      </c>
    </row>
    <row r="318" spans="2:6" ht="20.25" customHeight="1">
      <c r="B318" s="189" t="s">
        <v>221</v>
      </c>
      <c r="C318" s="182"/>
      <c r="D318" s="14"/>
      <c r="E318" s="182"/>
      <c r="F318" s="14">
        <f t="shared" si="13"/>
        <v>0</v>
      </c>
    </row>
    <row r="319" spans="2:6" ht="20.25" customHeight="1" thickBot="1">
      <c r="B319" s="185" t="s">
        <v>46</v>
      </c>
      <c r="C319" s="15">
        <f>SUM(C308:C318)</f>
        <v>385164.5</v>
      </c>
      <c r="D319" s="15">
        <f>SUM(D313:D317)</f>
        <v>0</v>
      </c>
      <c r="E319" s="186">
        <f>SUM(E308:E318)</f>
        <v>382500</v>
      </c>
      <c r="F319" s="178">
        <f>SUM(F308:F318)</f>
        <v>2664.5</v>
      </c>
    </row>
    <row r="320" spans="2:6" ht="20.25" customHeight="1" thickTop="1">
      <c r="B320" s="145"/>
      <c r="D320" s="182"/>
      <c r="E320" s="182"/>
      <c r="F320" s="194"/>
    </row>
    <row r="325" spans="2:6" ht="20.25" customHeight="1">
      <c r="B325" s="8" t="s">
        <v>79</v>
      </c>
      <c r="C325" s="344" t="s">
        <v>416</v>
      </c>
      <c r="D325" s="344"/>
      <c r="E325" s="193"/>
      <c r="F325" s="194"/>
    </row>
    <row r="326" spans="2:6" ht="20.25" customHeight="1">
      <c r="B326" s="345" t="s">
        <v>78</v>
      </c>
      <c r="C326" s="345"/>
      <c r="D326" s="9" t="s">
        <v>113</v>
      </c>
      <c r="E326" s="17" t="s">
        <v>109</v>
      </c>
      <c r="F326" s="178" t="s">
        <v>114</v>
      </c>
    </row>
    <row r="327" spans="2:6" ht="20.25" customHeight="1">
      <c r="B327" s="195" t="s">
        <v>19</v>
      </c>
      <c r="C327" s="196"/>
      <c r="D327" s="188">
        <v>29960.76</v>
      </c>
      <c r="E327" s="12">
        <v>5581.5</v>
      </c>
      <c r="F327" s="204">
        <f>E327+D327</f>
        <v>35542.259999999995</v>
      </c>
    </row>
    <row r="328" spans="2:6" ht="20.25" customHeight="1">
      <c r="B328" s="197" t="s">
        <v>177</v>
      </c>
      <c r="C328" s="198"/>
      <c r="D328" s="188">
        <v>2000</v>
      </c>
      <c r="E328" s="14"/>
      <c r="F328" s="204">
        <f>E328+D328</f>
        <v>2000</v>
      </c>
    </row>
    <row r="329" spans="2:6" ht="20.25" customHeight="1">
      <c r="B329" s="197" t="s">
        <v>172</v>
      </c>
      <c r="C329" s="198"/>
      <c r="D329" s="188">
        <v>22345.75</v>
      </c>
      <c r="E329" s="14">
        <v>705</v>
      </c>
      <c r="F329" s="204">
        <f aca="true" t="shared" si="14" ref="F329:F352">E329+D329</f>
        <v>23050.75</v>
      </c>
    </row>
    <row r="330" spans="2:6" ht="20.25" customHeight="1">
      <c r="B330" s="197" t="s">
        <v>23</v>
      </c>
      <c r="C330" s="198"/>
      <c r="D330" s="188">
        <v>3944</v>
      </c>
      <c r="E330" s="14"/>
      <c r="F330" s="204">
        <f t="shared" si="14"/>
        <v>3944</v>
      </c>
    </row>
    <row r="331" spans="2:6" ht="20.25" customHeight="1">
      <c r="B331" s="197" t="s">
        <v>169</v>
      </c>
      <c r="C331" s="198"/>
      <c r="D331" s="188">
        <v>150</v>
      </c>
      <c r="E331" s="14">
        <v>50</v>
      </c>
      <c r="F331" s="204">
        <f t="shared" si="14"/>
        <v>200</v>
      </c>
    </row>
    <row r="332" spans="2:6" ht="20.25" customHeight="1">
      <c r="B332" s="197" t="s">
        <v>188</v>
      </c>
      <c r="C332" s="198"/>
      <c r="D332" s="188">
        <v>6900</v>
      </c>
      <c r="E332" s="14"/>
      <c r="F332" s="204">
        <f t="shared" si="14"/>
        <v>6900</v>
      </c>
    </row>
    <row r="333" spans="2:6" ht="20.25" customHeight="1">
      <c r="B333" s="197" t="s">
        <v>227</v>
      </c>
      <c r="C333" s="198"/>
      <c r="D333" s="188">
        <v>756.6</v>
      </c>
      <c r="E333" s="14"/>
      <c r="F333" s="204">
        <f t="shared" si="14"/>
        <v>756.6</v>
      </c>
    </row>
    <row r="334" spans="2:6" ht="20.25" customHeight="1">
      <c r="B334" s="236" t="s">
        <v>198</v>
      </c>
      <c r="C334" s="198"/>
      <c r="D334" s="188">
        <v>500</v>
      </c>
      <c r="E334" s="14"/>
      <c r="F334" s="204">
        <f t="shared" si="14"/>
        <v>500</v>
      </c>
    </row>
    <row r="335" spans="2:6" ht="20.25" customHeight="1">
      <c r="B335" s="197" t="s">
        <v>27</v>
      </c>
      <c r="C335" s="198"/>
      <c r="D335" s="188">
        <v>5200</v>
      </c>
      <c r="E335" s="14"/>
      <c r="F335" s="204">
        <f t="shared" si="14"/>
        <v>5200</v>
      </c>
    </row>
    <row r="336" spans="2:6" ht="20.25" customHeight="1">
      <c r="B336" s="197" t="s">
        <v>43</v>
      </c>
      <c r="C336" s="198"/>
      <c r="D336" s="188">
        <v>8169.4</v>
      </c>
      <c r="E336" s="14">
        <v>100</v>
      </c>
      <c r="F336" s="204">
        <f t="shared" si="14"/>
        <v>8269.4</v>
      </c>
    </row>
    <row r="337" spans="2:6" ht="20.25" customHeight="1">
      <c r="B337" s="197" t="s">
        <v>409</v>
      </c>
      <c r="C337" s="198"/>
      <c r="D337" s="188">
        <v>11022.62</v>
      </c>
      <c r="E337" s="14"/>
      <c r="F337" s="204">
        <f t="shared" si="14"/>
        <v>11022.62</v>
      </c>
    </row>
    <row r="338" spans="2:6" ht="20.25" customHeight="1">
      <c r="B338" s="197" t="s">
        <v>171</v>
      </c>
      <c r="C338" s="198"/>
      <c r="D338" s="188">
        <v>2959345.81</v>
      </c>
      <c r="E338" s="14">
        <v>1461389.9</v>
      </c>
      <c r="F338" s="204">
        <f t="shared" si="14"/>
        <v>4420735.71</v>
      </c>
    </row>
    <row r="339" spans="2:6" ht="20.25" customHeight="1">
      <c r="B339" s="197" t="s">
        <v>10</v>
      </c>
      <c r="C339" s="198"/>
      <c r="D339" s="188">
        <v>141239</v>
      </c>
      <c r="E339" s="14">
        <v>23544</v>
      </c>
      <c r="F339" s="204">
        <f t="shared" si="14"/>
        <v>164783</v>
      </c>
    </row>
    <row r="340" spans="2:6" ht="20.25" customHeight="1">
      <c r="B340" s="197" t="s">
        <v>176</v>
      </c>
      <c r="C340" s="198"/>
      <c r="D340" s="188"/>
      <c r="E340" s="14">
        <v>96742.29</v>
      </c>
      <c r="F340" s="204">
        <f t="shared" si="14"/>
        <v>96742.29</v>
      </c>
    </row>
    <row r="341" spans="2:6" ht="20.25" customHeight="1">
      <c r="B341" s="197" t="s">
        <v>9</v>
      </c>
      <c r="C341" s="198"/>
      <c r="D341" s="188">
        <v>660612.24</v>
      </c>
      <c r="E341" s="14">
        <v>75697.93</v>
      </c>
      <c r="F341" s="204">
        <f t="shared" si="14"/>
        <v>736310.1699999999</v>
      </c>
    </row>
    <row r="342" spans="2:6" ht="20.25" customHeight="1">
      <c r="B342" s="197" t="s">
        <v>24</v>
      </c>
      <c r="C342" s="198"/>
      <c r="D342" s="188">
        <v>30252</v>
      </c>
      <c r="E342" s="14">
        <v>4826.93</v>
      </c>
      <c r="F342" s="204">
        <f t="shared" si="14"/>
        <v>35078.93</v>
      </c>
    </row>
    <row r="343" spans="2:6" ht="20.25" customHeight="1">
      <c r="B343" s="197" t="s">
        <v>20</v>
      </c>
      <c r="C343" s="198"/>
      <c r="D343" s="188">
        <v>286573.05</v>
      </c>
      <c r="E343" s="14">
        <v>63302.53</v>
      </c>
      <c r="F343" s="204">
        <f t="shared" si="14"/>
        <v>349875.57999999996</v>
      </c>
    </row>
    <row r="344" spans="2:6" ht="20.25" customHeight="1">
      <c r="B344" s="197" t="s">
        <v>21</v>
      </c>
      <c r="C344" s="198"/>
      <c r="D344" s="188">
        <v>688650.92</v>
      </c>
      <c r="E344" s="14">
        <v>149061.58</v>
      </c>
      <c r="F344" s="204">
        <f t="shared" si="14"/>
        <v>837712.5</v>
      </c>
    </row>
    <row r="345" spans="2:6" ht="20.25" customHeight="1">
      <c r="B345" s="197" t="s">
        <v>22</v>
      </c>
      <c r="C345" s="198"/>
      <c r="D345" s="188">
        <v>10584.08</v>
      </c>
      <c r="E345" s="14"/>
      <c r="F345" s="204">
        <f t="shared" si="14"/>
        <v>10584.08</v>
      </c>
    </row>
    <row r="346" spans="2:6" ht="20.25" customHeight="1">
      <c r="B346" s="197" t="s">
        <v>28</v>
      </c>
      <c r="C346" s="198"/>
      <c r="D346" s="188">
        <v>2663261</v>
      </c>
      <c r="E346" s="14"/>
      <c r="F346" s="204">
        <f t="shared" si="14"/>
        <v>2663261</v>
      </c>
    </row>
    <row r="347" spans="2:6" ht="20.25" customHeight="1">
      <c r="B347" s="197" t="s">
        <v>393</v>
      </c>
      <c r="C347" s="198"/>
      <c r="D347" s="188">
        <v>2131600</v>
      </c>
      <c r="E347" s="14"/>
      <c r="F347" s="204">
        <f t="shared" si="14"/>
        <v>2131600</v>
      </c>
    </row>
    <row r="348" spans="2:6" ht="20.25" customHeight="1">
      <c r="B348" s="197" t="s">
        <v>394</v>
      </c>
      <c r="C348" s="198"/>
      <c r="D348" s="188">
        <v>350400</v>
      </c>
      <c r="E348" s="14"/>
      <c r="F348" s="204">
        <f t="shared" si="14"/>
        <v>350400</v>
      </c>
    </row>
    <row r="349" spans="2:6" ht="20.25" customHeight="1">
      <c r="B349" s="197" t="s">
        <v>395</v>
      </c>
      <c r="C349" s="198"/>
      <c r="D349" s="188">
        <v>12000</v>
      </c>
      <c r="E349" s="14"/>
      <c r="F349" s="204">
        <f t="shared" si="14"/>
        <v>12000</v>
      </c>
    </row>
    <row r="350" spans="2:6" ht="20.25" customHeight="1">
      <c r="B350" s="197" t="s">
        <v>396</v>
      </c>
      <c r="C350" s="198"/>
      <c r="D350" s="188">
        <v>213900</v>
      </c>
      <c r="E350" s="14"/>
      <c r="F350" s="204">
        <f t="shared" si="14"/>
        <v>213900</v>
      </c>
    </row>
    <row r="351" spans="2:6" ht="20.25" customHeight="1">
      <c r="B351" s="197" t="s">
        <v>402</v>
      </c>
      <c r="C351" s="198"/>
      <c r="D351" s="188">
        <v>100300</v>
      </c>
      <c r="E351" s="14"/>
      <c r="F351" s="204">
        <f t="shared" si="14"/>
        <v>100300</v>
      </c>
    </row>
    <row r="352" spans="2:6" ht="20.25" customHeight="1">
      <c r="B352" s="197" t="s">
        <v>397</v>
      </c>
      <c r="C352" s="198"/>
      <c r="D352" s="188">
        <v>56528</v>
      </c>
      <c r="E352" s="14"/>
      <c r="F352" s="204">
        <f t="shared" si="14"/>
        <v>56528</v>
      </c>
    </row>
    <row r="353" spans="2:6" ht="20.25" customHeight="1">
      <c r="B353" s="197" t="s">
        <v>398</v>
      </c>
      <c r="C353" s="198"/>
      <c r="D353" s="188">
        <v>147500</v>
      </c>
      <c r="E353" s="14"/>
      <c r="F353" s="204">
        <f>E353+D353</f>
        <v>147500</v>
      </c>
    </row>
    <row r="354" spans="2:6" ht="20.25" customHeight="1">
      <c r="B354" s="197" t="s">
        <v>399</v>
      </c>
      <c r="C354" s="198"/>
      <c r="D354" s="188">
        <v>242398</v>
      </c>
      <c r="E354" s="14"/>
      <c r="F354" s="204">
        <f>E354+D354</f>
        <v>242398</v>
      </c>
    </row>
    <row r="355" spans="2:6" ht="20.25" customHeight="1">
      <c r="B355" s="197" t="s">
        <v>400</v>
      </c>
      <c r="C355" s="198"/>
      <c r="D355" s="188">
        <v>506000</v>
      </c>
      <c r="E355" s="14"/>
      <c r="F355" s="204">
        <f>E355+D355</f>
        <v>506000</v>
      </c>
    </row>
    <row r="356" spans="2:6" ht="20.25" customHeight="1">
      <c r="B356" s="197"/>
      <c r="C356" s="198"/>
      <c r="D356" s="188"/>
      <c r="E356" s="14"/>
      <c r="F356" s="204"/>
    </row>
    <row r="357" spans="2:6" ht="20.25" customHeight="1" thickBot="1">
      <c r="B357" s="199" t="s">
        <v>46</v>
      </c>
      <c r="C357" s="200"/>
      <c r="D357" s="16">
        <f>SUM(D327:D355)</f>
        <v>11292093.23</v>
      </c>
      <c r="E357" s="201">
        <f>SUM(E327:E355)</f>
        <v>1881001.66</v>
      </c>
      <c r="F357" s="202">
        <f>D357+E357</f>
        <v>13173094.89</v>
      </c>
    </row>
    <row r="358" spans="2:6" ht="20.25" customHeight="1" thickTop="1">
      <c r="B358" s="203"/>
      <c r="C358" s="194"/>
      <c r="D358" s="194"/>
      <c r="E358" s="193"/>
      <c r="F358" s="182"/>
    </row>
    <row r="359" spans="2:6" ht="20.25" customHeight="1">
      <c r="B359" s="203"/>
      <c r="C359" s="194"/>
      <c r="D359" s="194"/>
      <c r="E359" s="193"/>
      <c r="F359" s="182"/>
    </row>
    <row r="360" spans="2:6" ht="20.25" customHeight="1">
      <c r="B360" s="203"/>
      <c r="C360" s="194"/>
      <c r="D360" s="194"/>
      <c r="E360" s="193"/>
      <c r="F360" s="182"/>
    </row>
    <row r="361" spans="2:6" ht="20.25" customHeight="1">
      <c r="B361" s="203"/>
      <c r="C361" s="194"/>
      <c r="D361" s="194"/>
      <c r="E361" s="193"/>
      <c r="F361" s="182"/>
    </row>
    <row r="362" spans="2:6" ht="20.25" customHeight="1">
      <c r="B362" s="203"/>
      <c r="C362" s="194"/>
      <c r="D362" s="194"/>
      <c r="E362" s="193"/>
      <c r="F362" s="182"/>
    </row>
    <row r="363" spans="2:6" ht="20.25" customHeight="1">
      <c r="B363" s="203"/>
      <c r="C363" s="194"/>
      <c r="D363" s="194"/>
      <c r="E363" s="193"/>
      <c r="F363" s="182"/>
    </row>
    <row r="364" spans="2:6" ht="20.25" customHeight="1">
      <c r="B364" s="203"/>
      <c r="C364" s="194"/>
      <c r="D364" s="194"/>
      <c r="E364" s="193"/>
      <c r="F364" s="182"/>
    </row>
    <row r="365" spans="2:6" ht="20.25" customHeight="1">
      <c r="B365" s="203"/>
      <c r="C365" s="194"/>
      <c r="D365" s="194"/>
      <c r="E365" s="193"/>
      <c r="F365" s="182"/>
    </row>
    <row r="366" spans="2:6" ht="20.25" customHeight="1">
      <c r="B366" s="203"/>
      <c r="C366" s="194"/>
      <c r="D366" s="194"/>
      <c r="E366" s="193"/>
      <c r="F366" s="182"/>
    </row>
    <row r="367" spans="2:6" ht="20.25" customHeight="1">
      <c r="B367" s="203"/>
      <c r="C367" s="194"/>
      <c r="D367" s="194"/>
      <c r="E367" s="193"/>
      <c r="F367" s="182"/>
    </row>
    <row r="368" spans="2:6" ht="20.25" customHeight="1">
      <c r="B368" s="203"/>
      <c r="C368" s="194"/>
      <c r="D368" s="194"/>
      <c r="E368" s="193"/>
      <c r="F368" s="182"/>
    </row>
    <row r="369" spans="2:6" ht="20.25" customHeight="1">
      <c r="B369" s="203"/>
      <c r="C369" s="194"/>
      <c r="D369" s="194"/>
      <c r="E369" s="193"/>
      <c r="F369" s="182"/>
    </row>
    <row r="370" spans="2:6" ht="20.25" customHeight="1">
      <c r="B370" s="203"/>
      <c r="C370" s="194"/>
      <c r="D370" s="194"/>
      <c r="E370" s="193"/>
      <c r="F370" s="182"/>
    </row>
    <row r="371" spans="2:6" ht="20.25" customHeight="1">
      <c r="B371" s="203"/>
      <c r="C371" s="194"/>
      <c r="D371" s="194"/>
      <c r="E371" s="193"/>
      <c r="F371" s="182"/>
    </row>
    <row r="372" spans="2:6" ht="20.25" customHeight="1">
      <c r="B372" s="343" t="s">
        <v>112</v>
      </c>
      <c r="C372" s="343"/>
      <c r="D372" s="343"/>
      <c r="E372" s="343"/>
      <c r="F372" s="343"/>
    </row>
    <row r="373" spans="2:6" ht="20.25" customHeight="1">
      <c r="B373" s="8"/>
      <c r="C373" s="8"/>
      <c r="D373" s="8"/>
      <c r="E373" s="8"/>
      <c r="F373" s="8"/>
    </row>
    <row r="374" spans="2:6" ht="20.25" customHeight="1">
      <c r="B374" s="146" t="s">
        <v>123</v>
      </c>
      <c r="C374" s="344" t="s">
        <v>421</v>
      </c>
      <c r="D374" s="344"/>
      <c r="E374" s="176"/>
      <c r="F374" s="177"/>
    </row>
    <row r="375" spans="2:6" ht="20.25" customHeight="1">
      <c r="B375" s="9" t="s">
        <v>78</v>
      </c>
      <c r="C375" s="178" t="s">
        <v>113</v>
      </c>
      <c r="D375" s="9" t="s">
        <v>109</v>
      </c>
      <c r="E375" s="9" t="s">
        <v>111</v>
      </c>
      <c r="F375" s="179" t="s">
        <v>114</v>
      </c>
    </row>
    <row r="376" spans="2:6" ht="20.25" customHeight="1">
      <c r="B376" s="11" t="s">
        <v>110</v>
      </c>
      <c r="C376" s="180">
        <v>439915</v>
      </c>
      <c r="D376" s="12"/>
      <c r="E376" s="181"/>
      <c r="F376" s="12">
        <f>C376+D376-E376</f>
        <v>439915</v>
      </c>
    </row>
    <row r="377" spans="2:6" ht="20.25" customHeight="1">
      <c r="B377" s="13" t="s">
        <v>77</v>
      </c>
      <c r="C377" s="182">
        <v>228784.22</v>
      </c>
      <c r="D377" s="14">
        <v>468.43</v>
      </c>
      <c r="E377" s="183"/>
      <c r="F377" s="14">
        <f>C377+D377-E377</f>
        <v>229252.65</v>
      </c>
    </row>
    <row r="378" spans="2:6" ht="20.25" customHeight="1">
      <c r="B378" s="13" t="s">
        <v>15</v>
      </c>
      <c r="C378" s="14">
        <v>8965.37</v>
      </c>
      <c r="D378" s="188">
        <v>4612.69</v>
      </c>
      <c r="E378" s="14">
        <v>8965.37</v>
      </c>
      <c r="F378" s="14">
        <f>C378+D378-E378</f>
        <v>4612.6900000000005</v>
      </c>
    </row>
    <row r="379" spans="2:6" ht="20.25" customHeight="1">
      <c r="B379" s="13" t="s">
        <v>16</v>
      </c>
      <c r="C379" s="182">
        <v>5647.41</v>
      </c>
      <c r="D379" s="14"/>
      <c r="E379" s="183"/>
      <c r="F379" s="14">
        <f aca="true" t="shared" si="15" ref="F379:F392">C379+D379-E379</f>
        <v>5647.41</v>
      </c>
    </row>
    <row r="380" spans="2:6" ht="20.25" customHeight="1">
      <c r="B380" s="13" t="s">
        <v>17</v>
      </c>
      <c r="C380" s="182">
        <v>2270.49</v>
      </c>
      <c r="D380" s="14">
        <v>248.91</v>
      </c>
      <c r="E380" s="183"/>
      <c r="F380" s="14">
        <f t="shared" si="15"/>
        <v>2519.3999999999996</v>
      </c>
    </row>
    <row r="381" spans="2:6" ht="20.25" customHeight="1">
      <c r="B381" s="13" t="s">
        <v>141</v>
      </c>
      <c r="C381" s="182">
        <v>225</v>
      </c>
      <c r="D381" s="14"/>
      <c r="E381" s="183"/>
      <c r="F381" s="14">
        <f t="shared" si="15"/>
        <v>225</v>
      </c>
    </row>
    <row r="382" spans="2:6" ht="20.25" customHeight="1">
      <c r="B382" s="13" t="s">
        <v>173</v>
      </c>
      <c r="C382" s="182">
        <v>110.69</v>
      </c>
      <c r="D382" s="14">
        <v>4.07</v>
      </c>
      <c r="E382" s="183"/>
      <c r="F382" s="14">
        <f t="shared" si="15"/>
        <v>114.75999999999999</v>
      </c>
    </row>
    <row r="383" spans="2:6" ht="20.25" customHeight="1">
      <c r="B383" s="72" t="s">
        <v>204</v>
      </c>
      <c r="C383" s="14">
        <v>13000</v>
      </c>
      <c r="D383" s="14"/>
      <c r="E383" s="183"/>
      <c r="F383" s="14">
        <f t="shared" si="15"/>
        <v>13000</v>
      </c>
    </row>
    <row r="384" spans="2:6" ht="20.25" customHeight="1">
      <c r="B384" s="13" t="s">
        <v>205</v>
      </c>
      <c r="C384" s="182">
        <v>150500</v>
      </c>
      <c r="D384" s="14"/>
      <c r="E384" s="183"/>
      <c r="F384" s="14">
        <f t="shared" si="15"/>
        <v>150500</v>
      </c>
    </row>
    <row r="385" spans="2:6" ht="20.25" customHeight="1">
      <c r="B385" s="13" t="s">
        <v>206</v>
      </c>
      <c r="C385" s="182">
        <v>14400</v>
      </c>
      <c r="D385" s="14"/>
      <c r="E385" s="183"/>
      <c r="F385" s="14">
        <f t="shared" si="15"/>
        <v>14400</v>
      </c>
    </row>
    <row r="386" spans="2:6" ht="20.25" customHeight="1">
      <c r="B386" s="13" t="s">
        <v>207</v>
      </c>
      <c r="C386" s="182">
        <v>743.25</v>
      </c>
      <c r="D386" s="14"/>
      <c r="E386" s="183"/>
      <c r="F386" s="14">
        <f t="shared" si="15"/>
        <v>743.25</v>
      </c>
    </row>
    <row r="387" spans="2:6" ht="20.25" customHeight="1">
      <c r="B387" s="155" t="s">
        <v>426</v>
      </c>
      <c r="C387" s="14"/>
      <c r="D387" s="14">
        <v>50000</v>
      </c>
      <c r="E387" s="183"/>
      <c r="F387" s="14">
        <f t="shared" si="15"/>
        <v>50000</v>
      </c>
    </row>
    <row r="388" spans="2:6" ht="20.25" customHeight="1">
      <c r="B388" s="13" t="s">
        <v>168</v>
      </c>
      <c r="C388" s="279">
        <v>0</v>
      </c>
      <c r="D388" s="14">
        <v>7283</v>
      </c>
      <c r="E388" s="183">
        <v>7283</v>
      </c>
      <c r="F388" s="14">
        <f t="shared" si="15"/>
        <v>0</v>
      </c>
    </row>
    <row r="389" spans="2:6" ht="20.25" customHeight="1">
      <c r="B389" s="13" t="s">
        <v>223</v>
      </c>
      <c r="C389" s="184"/>
      <c r="D389" s="209">
        <v>64788</v>
      </c>
      <c r="E389" s="209">
        <v>64788</v>
      </c>
      <c r="F389" s="14">
        <f t="shared" si="15"/>
        <v>0</v>
      </c>
    </row>
    <row r="390" spans="2:6" ht="20.25" customHeight="1">
      <c r="B390" s="13" t="s">
        <v>224</v>
      </c>
      <c r="C390" s="184"/>
      <c r="D390" s="209">
        <v>31700</v>
      </c>
      <c r="E390" s="209">
        <v>31700</v>
      </c>
      <c r="F390" s="14">
        <f t="shared" si="15"/>
        <v>0</v>
      </c>
    </row>
    <row r="391" spans="2:6" ht="20.25" customHeight="1">
      <c r="B391" s="13" t="s">
        <v>225</v>
      </c>
      <c r="C391" s="184"/>
      <c r="D391" s="209">
        <v>31572</v>
      </c>
      <c r="E391" s="209">
        <v>31572</v>
      </c>
      <c r="F391" s="14">
        <f t="shared" si="15"/>
        <v>0</v>
      </c>
    </row>
    <row r="392" spans="2:6" ht="20.25" customHeight="1">
      <c r="B392" s="13" t="s">
        <v>226</v>
      </c>
      <c r="C392" s="184"/>
      <c r="D392" s="209">
        <v>29045</v>
      </c>
      <c r="E392" s="209">
        <v>29045</v>
      </c>
      <c r="F392" s="191">
        <f t="shared" si="15"/>
        <v>0</v>
      </c>
    </row>
    <row r="393" spans="2:6" ht="20.25" customHeight="1" thickBot="1">
      <c r="B393" s="208" t="s">
        <v>46</v>
      </c>
      <c r="C393" s="15">
        <f>SUM(C376:C388)</f>
        <v>864561.4299999999</v>
      </c>
      <c r="D393" s="15">
        <f>SUM(D376:D392)</f>
        <v>219722.1</v>
      </c>
      <c r="E393" s="186">
        <f>SUM(E376:E392)</f>
        <v>173353.37</v>
      </c>
      <c r="F393" s="192">
        <f>SUM(F376:F392)</f>
        <v>910930.16</v>
      </c>
    </row>
    <row r="394" ht="20.25" customHeight="1" thickTop="1"/>
    <row r="395" spans="2:6" ht="20.25" customHeight="1">
      <c r="B395" s="146" t="s">
        <v>18</v>
      </c>
      <c r="C395" s="344" t="s">
        <v>421</v>
      </c>
      <c r="D395" s="344"/>
      <c r="E395" s="176"/>
      <c r="F395" s="177"/>
    </row>
    <row r="396" spans="2:6" ht="20.25" customHeight="1">
      <c r="B396" s="9" t="s">
        <v>78</v>
      </c>
      <c r="C396" s="178" t="s">
        <v>113</v>
      </c>
      <c r="D396" s="9" t="s">
        <v>109</v>
      </c>
      <c r="E396" s="9" t="s">
        <v>111</v>
      </c>
      <c r="F396" s="178" t="s">
        <v>114</v>
      </c>
    </row>
    <row r="397" spans="2:6" ht="20.25" customHeight="1">
      <c r="B397" s="189" t="s">
        <v>210</v>
      </c>
      <c r="C397" s="182">
        <v>1500</v>
      </c>
      <c r="D397" s="190"/>
      <c r="E397" s="182"/>
      <c r="F397" s="14">
        <f aca="true" t="shared" si="16" ref="F397:F407">C397-E397</f>
        <v>1500</v>
      </c>
    </row>
    <row r="398" spans="2:6" ht="20.25" customHeight="1">
      <c r="B398" s="189" t="s">
        <v>211</v>
      </c>
      <c r="C398" s="182">
        <v>1000</v>
      </c>
      <c r="D398" s="190"/>
      <c r="E398" s="182"/>
      <c r="F398" s="14">
        <f t="shared" si="16"/>
        <v>1000</v>
      </c>
    </row>
    <row r="399" spans="2:6" ht="20.25" customHeight="1">
      <c r="B399" s="189" t="s">
        <v>213</v>
      </c>
      <c r="C399" s="182">
        <v>0</v>
      </c>
      <c r="D399" s="190"/>
      <c r="E399" s="182"/>
      <c r="F399" s="14">
        <f t="shared" si="16"/>
        <v>0</v>
      </c>
    </row>
    <row r="400" spans="2:6" ht="20.25" customHeight="1">
      <c r="B400" s="189" t="s">
        <v>214</v>
      </c>
      <c r="C400" s="182">
        <v>0</v>
      </c>
      <c r="D400" s="190"/>
      <c r="E400" s="182"/>
      <c r="F400" s="14">
        <f t="shared" si="16"/>
        <v>0</v>
      </c>
    </row>
    <row r="401" spans="2:6" ht="20.25" customHeight="1">
      <c r="B401" s="189" t="s">
        <v>215</v>
      </c>
      <c r="C401" s="182">
        <v>0</v>
      </c>
      <c r="D401" s="190"/>
      <c r="E401" s="182"/>
      <c r="F401" s="14">
        <f t="shared" si="16"/>
        <v>0</v>
      </c>
    </row>
    <row r="402" spans="2:6" ht="20.25" customHeight="1">
      <c r="B402" s="189" t="s">
        <v>187</v>
      </c>
      <c r="C402" s="182">
        <v>164.5</v>
      </c>
      <c r="D402" s="14"/>
      <c r="E402" s="182"/>
      <c r="F402" s="14">
        <f t="shared" si="16"/>
        <v>164.5</v>
      </c>
    </row>
    <row r="403" spans="2:6" ht="20.25" customHeight="1">
      <c r="B403" s="189" t="s">
        <v>187</v>
      </c>
      <c r="C403" s="182"/>
      <c r="D403" s="14"/>
      <c r="E403" s="182"/>
      <c r="F403" s="14">
        <f t="shared" si="16"/>
        <v>0</v>
      </c>
    </row>
    <row r="404" spans="2:6" ht="20.25" customHeight="1">
      <c r="B404" s="189" t="s">
        <v>218</v>
      </c>
      <c r="C404" s="182"/>
      <c r="D404" s="14"/>
      <c r="E404" s="182"/>
      <c r="F404" s="14">
        <f t="shared" si="16"/>
        <v>0</v>
      </c>
    </row>
    <row r="405" spans="2:6" ht="20.25" customHeight="1">
      <c r="B405" s="189" t="s">
        <v>219</v>
      </c>
      <c r="C405" s="182"/>
      <c r="D405" s="14"/>
      <c r="E405" s="182"/>
      <c r="F405" s="14">
        <f t="shared" si="16"/>
        <v>0</v>
      </c>
    </row>
    <row r="406" spans="2:6" ht="20.25" customHeight="1">
      <c r="B406" s="189" t="s">
        <v>220</v>
      </c>
      <c r="C406" s="182"/>
      <c r="D406" s="14"/>
      <c r="E406" s="182"/>
      <c r="F406" s="14">
        <f t="shared" si="16"/>
        <v>0</v>
      </c>
    </row>
    <row r="407" spans="2:6" ht="20.25" customHeight="1">
      <c r="B407" s="189" t="s">
        <v>221</v>
      </c>
      <c r="C407" s="182"/>
      <c r="D407" s="14"/>
      <c r="E407" s="182"/>
      <c r="F407" s="14">
        <f t="shared" si="16"/>
        <v>0</v>
      </c>
    </row>
    <row r="408" spans="2:6" ht="20.25" customHeight="1" thickBot="1">
      <c r="B408" s="185" t="s">
        <v>46</v>
      </c>
      <c r="C408" s="15">
        <f>SUM(C397:C407)</f>
        <v>2664.5</v>
      </c>
      <c r="D408" s="15">
        <f>SUM(D402:D406)</f>
        <v>0</v>
      </c>
      <c r="E408" s="186">
        <f>SUM(E397:E407)</f>
        <v>0</v>
      </c>
      <c r="F408" s="178">
        <f>SUM(F397:F407)</f>
        <v>2664.5</v>
      </c>
    </row>
    <row r="409" spans="2:6" ht="20.25" customHeight="1" thickTop="1">
      <c r="B409" s="145"/>
      <c r="D409" s="182"/>
      <c r="E409" s="182"/>
      <c r="F409" s="194"/>
    </row>
    <row r="414" spans="2:6" ht="20.25" customHeight="1">
      <c r="B414" s="8" t="s">
        <v>79</v>
      </c>
      <c r="C414" s="344" t="s">
        <v>425</v>
      </c>
      <c r="D414" s="344"/>
      <c r="E414" s="193"/>
      <c r="F414" s="194"/>
    </row>
    <row r="415" spans="2:6" ht="20.25" customHeight="1">
      <c r="B415" s="345" t="s">
        <v>78</v>
      </c>
      <c r="C415" s="345"/>
      <c r="D415" s="9" t="s">
        <v>113</v>
      </c>
      <c r="E415" s="17" t="s">
        <v>109</v>
      </c>
      <c r="F415" s="178" t="s">
        <v>114</v>
      </c>
    </row>
    <row r="416" spans="2:6" ht="20.25" customHeight="1">
      <c r="B416" s="195" t="s">
        <v>19</v>
      </c>
      <c r="C416" s="196"/>
      <c r="D416" s="188">
        <v>35542.26</v>
      </c>
      <c r="E416" s="12">
        <v>3896.84</v>
      </c>
      <c r="F416" s="204">
        <f>E416+D416</f>
        <v>39439.100000000006</v>
      </c>
    </row>
    <row r="417" spans="2:6" ht="20.25" customHeight="1">
      <c r="B417" s="197" t="s">
        <v>177</v>
      </c>
      <c r="C417" s="198"/>
      <c r="D417" s="188">
        <v>2000</v>
      </c>
      <c r="E417" s="14"/>
      <c r="F417" s="204">
        <f>E417+D417</f>
        <v>2000</v>
      </c>
    </row>
    <row r="418" spans="2:6" ht="20.25" customHeight="1">
      <c r="B418" s="197" t="s">
        <v>172</v>
      </c>
      <c r="C418" s="198"/>
      <c r="D418" s="188">
        <v>23050.75</v>
      </c>
      <c r="E418" s="14"/>
      <c r="F418" s="204">
        <f aca="true" t="shared" si="17" ref="F418:F442">E418+D418</f>
        <v>23050.75</v>
      </c>
    </row>
    <row r="419" spans="2:6" ht="20.25" customHeight="1">
      <c r="B419" s="197" t="s">
        <v>23</v>
      </c>
      <c r="C419" s="198"/>
      <c r="D419" s="188">
        <v>3944</v>
      </c>
      <c r="E419" s="14">
        <v>302</v>
      </c>
      <c r="F419" s="204">
        <f t="shared" si="17"/>
        <v>4246</v>
      </c>
    </row>
    <row r="420" spans="2:6" ht="20.25" customHeight="1">
      <c r="B420" s="197" t="s">
        <v>169</v>
      </c>
      <c r="C420" s="198"/>
      <c r="D420" s="188">
        <v>200</v>
      </c>
      <c r="E420" s="14"/>
      <c r="F420" s="204">
        <f t="shared" si="17"/>
        <v>200</v>
      </c>
    </row>
    <row r="421" spans="2:6" ht="20.25" customHeight="1">
      <c r="B421" s="197" t="s">
        <v>188</v>
      </c>
      <c r="C421" s="198"/>
      <c r="D421" s="188">
        <v>6900</v>
      </c>
      <c r="E421" s="14"/>
      <c r="F421" s="204">
        <f t="shared" si="17"/>
        <v>6900</v>
      </c>
    </row>
    <row r="422" spans="2:6" ht="20.25" customHeight="1">
      <c r="B422" s="197" t="s">
        <v>227</v>
      </c>
      <c r="C422" s="198"/>
      <c r="D422" s="188">
        <v>756.6</v>
      </c>
      <c r="E422" s="14"/>
      <c r="F422" s="204">
        <f t="shared" si="17"/>
        <v>756.6</v>
      </c>
    </row>
    <row r="423" spans="2:6" ht="20.25" customHeight="1">
      <c r="B423" s="236" t="s">
        <v>198</v>
      </c>
      <c r="C423" s="198"/>
      <c r="D423" s="188">
        <v>500</v>
      </c>
      <c r="E423" s="14"/>
      <c r="F423" s="204">
        <f t="shared" si="17"/>
        <v>500</v>
      </c>
    </row>
    <row r="424" spans="2:6" ht="20.25" customHeight="1">
      <c r="B424" s="197" t="s">
        <v>27</v>
      </c>
      <c r="C424" s="198"/>
      <c r="D424" s="188">
        <v>5200</v>
      </c>
      <c r="E424" s="14"/>
      <c r="F424" s="204">
        <f t="shared" si="17"/>
        <v>5200</v>
      </c>
    </row>
    <row r="425" spans="2:6" ht="20.25" customHeight="1">
      <c r="B425" s="197" t="s">
        <v>43</v>
      </c>
      <c r="C425" s="198"/>
      <c r="D425" s="188">
        <v>8269.4</v>
      </c>
      <c r="E425" s="14"/>
      <c r="F425" s="204">
        <f t="shared" si="17"/>
        <v>8269.4</v>
      </c>
    </row>
    <row r="426" spans="2:6" ht="20.25" customHeight="1">
      <c r="B426" s="197" t="s">
        <v>174</v>
      </c>
      <c r="C426" s="198"/>
      <c r="D426" s="188"/>
      <c r="E426" s="14">
        <v>23672.04</v>
      </c>
      <c r="F426" s="204">
        <f t="shared" si="17"/>
        <v>23672.04</v>
      </c>
    </row>
    <row r="427" spans="2:6" ht="20.25" customHeight="1">
      <c r="B427" s="197" t="s">
        <v>409</v>
      </c>
      <c r="C427" s="198"/>
      <c r="D427" s="188">
        <v>11022.62</v>
      </c>
      <c r="E427" s="14"/>
      <c r="F427" s="204">
        <f t="shared" si="17"/>
        <v>11022.62</v>
      </c>
    </row>
    <row r="428" spans="2:6" ht="20.25" customHeight="1">
      <c r="B428" s="197" t="s">
        <v>171</v>
      </c>
      <c r="C428" s="198"/>
      <c r="D428" s="188">
        <v>4420735.71</v>
      </c>
      <c r="E428" s="14"/>
      <c r="F428" s="204">
        <f t="shared" si="17"/>
        <v>4420735.71</v>
      </c>
    </row>
    <row r="429" spans="2:6" ht="20.25" customHeight="1">
      <c r="B429" s="197" t="s">
        <v>10</v>
      </c>
      <c r="C429" s="198"/>
      <c r="D429" s="188">
        <v>164783</v>
      </c>
      <c r="E429" s="14">
        <v>17711</v>
      </c>
      <c r="F429" s="204">
        <f t="shared" si="17"/>
        <v>182494</v>
      </c>
    </row>
    <row r="430" spans="2:6" ht="20.25" customHeight="1">
      <c r="B430" s="197" t="s">
        <v>176</v>
      </c>
      <c r="C430" s="198"/>
      <c r="D430" s="188">
        <v>96742.29</v>
      </c>
      <c r="E430" s="14"/>
      <c r="F430" s="204">
        <f t="shared" si="17"/>
        <v>96742.29</v>
      </c>
    </row>
    <row r="431" spans="2:6" ht="20.25" customHeight="1">
      <c r="B431" s="197" t="s">
        <v>9</v>
      </c>
      <c r="C431" s="198"/>
      <c r="D431" s="188">
        <v>736310.17</v>
      </c>
      <c r="E431" s="14">
        <v>176735.74</v>
      </c>
      <c r="F431" s="204">
        <f t="shared" si="17"/>
        <v>913045.91</v>
      </c>
    </row>
    <row r="432" spans="2:6" ht="20.25" customHeight="1">
      <c r="B432" s="197" t="s">
        <v>24</v>
      </c>
      <c r="C432" s="198"/>
      <c r="D432" s="188">
        <v>35078.93</v>
      </c>
      <c r="E432" s="14">
        <v>5215.86</v>
      </c>
      <c r="F432" s="204">
        <f t="shared" si="17"/>
        <v>40294.79</v>
      </c>
    </row>
    <row r="433" spans="2:6" ht="20.25" customHeight="1">
      <c r="B433" s="197" t="s">
        <v>20</v>
      </c>
      <c r="C433" s="198"/>
      <c r="D433" s="188">
        <v>349875.58</v>
      </c>
      <c r="E433" s="14">
        <v>77415.71</v>
      </c>
      <c r="F433" s="204">
        <f t="shared" si="17"/>
        <v>427291.29000000004</v>
      </c>
    </row>
    <row r="434" spans="2:6" ht="20.25" customHeight="1">
      <c r="B434" s="197" t="s">
        <v>21</v>
      </c>
      <c r="C434" s="198"/>
      <c r="D434" s="188">
        <v>837712.5</v>
      </c>
      <c r="E434" s="14">
        <v>175031.39</v>
      </c>
      <c r="F434" s="204">
        <f t="shared" si="17"/>
        <v>1012743.89</v>
      </c>
    </row>
    <row r="435" spans="2:6" ht="20.25" customHeight="1">
      <c r="B435" s="197" t="s">
        <v>22</v>
      </c>
      <c r="C435" s="198"/>
      <c r="D435" s="188">
        <v>10584.08</v>
      </c>
      <c r="E435" s="14"/>
      <c r="F435" s="204">
        <f t="shared" si="17"/>
        <v>10584.08</v>
      </c>
    </row>
    <row r="436" spans="2:6" ht="20.25" customHeight="1">
      <c r="B436" s="197" t="s">
        <v>28</v>
      </c>
      <c r="C436" s="198"/>
      <c r="D436" s="188">
        <v>2663261</v>
      </c>
      <c r="E436" s="14"/>
      <c r="F436" s="204">
        <f t="shared" si="17"/>
        <v>2663261</v>
      </c>
    </row>
    <row r="437" spans="2:6" ht="20.25" customHeight="1">
      <c r="B437" s="197" t="s">
        <v>393</v>
      </c>
      <c r="C437" s="198"/>
      <c r="D437" s="188">
        <v>2131600</v>
      </c>
      <c r="E437" s="14">
        <v>1065800</v>
      </c>
      <c r="F437" s="204">
        <f t="shared" si="17"/>
        <v>3197400</v>
      </c>
    </row>
    <row r="438" spans="2:6" ht="20.25" customHeight="1">
      <c r="B438" s="197" t="s">
        <v>394</v>
      </c>
      <c r="C438" s="198"/>
      <c r="D438" s="188">
        <v>350400</v>
      </c>
      <c r="E438" s="14">
        <v>175200</v>
      </c>
      <c r="F438" s="204">
        <f t="shared" si="17"/>
        <v>525600</v>
      </c>
    </row>
    <row r="439" spans="2:6" ht="20.25" customHeight="1">
      <c r="B439" s="197" t="s">
        <v>395</v>
      </c>
      <c r="C439" s="198"/>
      <c r="D439" s="188">
        <v>12000</v>
      </c>
      <c r="E439" s="14">
        <v>6000</v>
      </c>
      <c r="F439" s="204">
        <f t="shared" si="17"/>
        <v>18000</v>
      </c>
    </row>
    <row r="440" spans="2:6" ht="20.25" customHeight="1">
      <c r="B440" s="197" t="s">
        <v>396</v>
      </c>
      <c r="C440" s="198"/>
      <c r="D440" s="188">
        <v>213900</v>
      </c>
      <c r="E440" s="14">
        <v>113640</v>
      </c>
      <c r="F440" s="204">
        <f t="shared" si="17"/>
        <v>327540</v>
      </c>
    </row>
    <row r="441" spans="2:6" ht="20.25" customHeight="1">
      <c r="B441" s="197" t="s">
        <v>402</v>
      </c>
      <c r="C441" s="198"/>
      <c r="D441" s="188">
        <v>100300</v>
      </c>
      <c r="E441" s="14"/>
      <c r="F441" s="204">
        <f t="shared" si="17"/>
        <v>100300</v>
      </c>
    </row>
    <row r="442" spans="2:6" ht="20.25" customHeight="1">
      <c r="B442" s="197" t="s">
        <v>397</v>
      </c>
      <c r="C442" s="198"/>
      <c r="D442" s="188">
        <v>56528</v>
      </c>
      <c r="E442" s="14">
        <v>28264</v>
      </c>
      <c r="F442" s="204">
        <f t="shared" si="17"/>
        <v>84792</v>
      </c>
    </row>
    <row r="443" spans="2:6" ht="20.25" customHeight="1">
      <c r="B443" s="197" t="s">
        <v>398</v>
      </c>
      <c r="C443" s="198"/>
      <c r="D443" s="188">
        <v>147500</v>
      </c>
      <c r="E443" s="14">
        <v>70800</v>
      </c>
      <c r="F443" s="204">
        <f>E443+D443</f>
        <v>218300</v>
      </c>
    </row>
    <row r="444" spans="2:6" ht="20.25" customHeight="1">
      <c r="B444" s="197" t="s">
        <v>399</v>
      </c>
      <c r="C444" s="198"/>
      <c r="D444" s="188">
        <v>242398</v>
      </c>
      <c r="E444" s="14">
        <v>116409</v>
      </c>
      <c r="F444" s="204">
        <f>E444+D444</f>
        <v>358807</v>
      </c>
    </row>
    <row r="445" spans="2:6" ht="20.25" customHeight="1">
      <c r="B445" s="197" t="s">
        <v>400</v>
      </c>
      <c r="C445" s="198"/>
      <c r="D445" s="188">
        <v>506000</v>
      </c>
      <c r="E445" s="14">
        <v>243000</v>
      </c>
      <c r="F445" s="204">
        <f>E445+D445</f>
        <v>749000</v>
      </c>
    </row>
    <row r="446" spans="2:6" ht="20.25" customHeight="1">
      <c r="B446" s="197"/>
      <c r="C446" s="198"/>
      <c r="D446" s="188"/>
      <c r="E446" s="14"/>
      <c r="F446" s="204"/>
    </row>
    <row r="447" spans="2:6" ht="20.25" customHeight="1" thickBot="1">
      <c r="B447" s="199" t="s">
        <v>46</v>
      </c>
      <c r="C447" s="200"/>
      <c r="D447" s="16">
        <f>SUM(D416:D445)</f>
        <v>13173094.89</v>
      </c>
      <c r="E447" s="201">
        <f>SUM(E416:E445)</f>
        <v>2299093.58</v>
      </c>
      <c r="F447" s="202">
        <f>D447+E447</f>
        <v>15472188.47</v>
      </c>
    </row>
    <row r="448" ht="20.25" customHeight="1" thickTop="1"/>
    <row r="449" spans="2:6" ht="20.25" customHeight="1">
      <c r="B449" s="343" t="s">
        <v>112</v>
      </c>
      <c r="C449" s="343"/>
      <c r="D449" s="343"/>
      <c r="E449" s="343"/>
      <c r="F449" s="343"/>
    </row>
    <row r="450" spans="2:6" ht="20.25" customHeight="1">
      <c r="B450" s="8"/>
      <c r="C450" s="8"/>
      <c r="D450" s="8"/>
      <c r="E450" s="8"/>
      <c r="F450" s="8"/>
    </row>
    <row r="451" spans="2:6" ht="20.25" customHeight="1">
      <c r="B451" s="146" t="s">
        <v>123</v>
      </c>
      <c r="C451" s="344" t="s">
        <v>449</v>
      </c>
      <c r="D451" s="344"/>
      <c r="E451" s="176"/>
      <c r="F451" s="177"/>
    </row>
    <row r="452" spans="2:6" ht="20.25" customHeight="1">
      <c r="B452" s="9" t="s">
        <v>78</v>
      </c>
      <c r="C452" s="178" t="s">
        <v>113</v>
      </c>
      <c r="D452" s="9" t="s">
        <v>109</v>
      </c>
      <c r="E452" s="9" t="s">
        <v>111</v>
      </c>
      <c r="F452" s="179" t="s">
        <v>114</v>
      </c>
    </row>
    <row r="453" spans="2:6" ht="20.25" customHeight="1">
      <c r="B453" s="11" t="s">
        <v>110</v>
      </c>
      <c r="C453" s="180">
        <v>439915</v>
      </c>
      <c r="D453" s="12">
        <v>19625</v>
      </c>
      <c r="E453" s="181">
        <v>72845</v>
      </c>
      <c r="F453" s="12">
        <f>C453+D453-E453</f>
        <v>386695</v>
      </c>
    </row>
    <row r="454" spans="2:6" ht="20.25" customHeight="1">
      <c r="B454" s="13" t="s">
        <v>77</v>
      </c>
      <c r="C454" s="182">
        <v>229252.65</v>
      </c>
      <c r="D454" s="14">
        <v>100000</v>
      </c>
      <c r="E454" s="183"/>
      <c r="F454" s="14">
        <f>C454+D454-E454</f>
        <v>329252.65</v>
      </c>
    </row>
    <row r="455" spans="2:6" ht="20.25" customHeight="1">
      <c r="B455" s="13" t="s">
        <v>15</v>
      </c>
      <c r="C455" s="14">
        <v>4612.69</v>
      </c>
      <c r="D455" s="188">
        <v>3671.78</v>
      </c>
      <c r="E455" s="14">
        <v>4612.69</v>
      </c>
      <c r="F455" s="14">
        <f>C455+D455-E455</f>
        <v>3671.7799999999997</v>
      </c>
    </row>
    <row r="456" spans="2:6" ht="20.25" customHeight="1">
      <c r="B456" s="13" t="s">
        <v>16</v>
      </c>
      <c r="C456" s="182">
        <v>5647.41</v>
      </c>
      <c r="D456" s="14"/>
      <c r="E456" s="183"/>
      <c r="F456" s="14">
        <f aca="true" t="shared" si="18" ref="F456:F469">C456+D456-E456</f>
        <v>5647.41</v>
      </c>
    </row>
    <row r="457" spans="2:6" ht="20.25" customHeight="1">
      <c r="B457" s="13" t="s">
        <v>17</v>
      </c>
      <c r="C457" s="182">
        <v>2519.4</v>
      </c>
      <c r="D457" s="14">
        <v>139.39</v>
      </c>
      <c r="E457" s="183"/>
      <c r="F457" s="14">
        <f t="shared" si="18"/>
        <v>2658.79</v>
      </c>
    </row>
    <row r="458" spans="2:6" ht="20.25" customHeight="1">
      <c r="B458" s="13" t="s">
        <v>141</v>
      </c>
      <c r="C458" s="182">
        <v>225</v>
      </c>
      <c r="D458" s="14"/>
      <c r="E458" s="183"/>
      <c r="F458" s="14">
        <f t="shared" si="18"/>
        <v>225</v>
      </c>
    </row>
    <row r="459" spans="2:6" ht="20.25" customHeight="1">
      <c r="B459" s="13" t="s">
        <v>173</v>
      </c>
      <c r="C459" s="182">
        <v>114.76</v>
      </c>
      <c r="D459" s="14">
        <v>0</v>
      </c>
      <c r="E459" s="183"/>
      <c r="F459" s="14">
        <f t="shared" si="18"/>
        <v>114.76</v>
      </c>
    </row>
    <row r="460" spans="2:6" ht="20.25" customHeight="1">
      <c r="B460" s="72" t="s">
        <v>204</v>
      </c>
      <c r="C460" s="14">
        <v>13000</v>
      </c>
      <c r="D460" s="14"/>
      <c r="E460" s="183"/>
      <c r="F460" s="14">
        <f t="shared" si="18"/>
        <v>13000</v>
      </c>
    </row>
    <row r="461" spans="2:6" ht="20.25" customHeight="1">
      <c r="B461" s="13" t="s">
        <v>205</v>
      </c>
      <c r="C461" s="182">
        <v>150500</v>
      </c>
      <c r="D461" s="14"/>
      <c r="E461" s="183"/>
      <c r="F461" s="14">
        <f t="shared" si="18"/>
        <v>150500</v>
      </c>
    </row>
    <row r="462" spans="2:6" ht="20.25" customHeight="1">
      <c r="B462" s="13" t="s">
        <v>206</v>
      </c>
      <c r="C462" s="182">
        <v>14400</v>
      </c>
      <c r="D462" s="14"/>
      <c r="E462" s="183"/>
      <c r="F462" s="14">
        <f t="shared" si="18"/>
        <v>14400</v>
      </c>
    </row>
    <row r="463" spans="2:6" ht="20.25" customHeight="1">
      <c r="B463" s="13" t="s">
        <v>207</v>
      </c>
      <c r="C463" s="182">
        <v>743.25</v>
      </c>
      <c r="D463" s="14"/>
      <c r="E463" s="183"/>
      <c r="F463" s="14">
        <f t="shared" si="18"/>
        <v>743.25</v>
      </c>
    </row>
    <row r="464" spans="2:6" ht="20.25" customHeight="1">
      <c r="B464" s="155" t="s">
        <v>426</v>
      </c>
      <c r="C464" s="14">
        <v>50000</v>
      </c>
      <c r="D464" s="14">
        <v>0</v>
      </c>
      <c r="E464" s="183"/>
      <c r="F464" s="14">
        <f t="shared" si="18"/>
        <v>50000</v>
      </c>
    </row>
    <row r="465" spans="2:6" ht="20.25" customHeight="1">
      <c r="B465" s="13" t="s">
        <v>168</v>
      </c>
      <c r="C465" s="279">
        <v>0</v>
      </c>
      <c r="D465" s="14">
        <v>7853</v>
      </c>
      <c r="E465" s="183">
        <v>7853</v>
      </c>
      <c r="F465" s="14">
        <f t="shared" si="18"/>
        <v>0</v>
      </c>
    </row>
    <row r="466" spans="2:6" ht="20.25" customHeight="1">
      <c r="B466" s="13" t="s">
        <v>223</v>
      </c>
      <c r="C466" s="184"/>
      <c r="D466" s="209">
        <v>38168</v>
      </c>
      <c r="E466" s="209">
        <v>38168</v>
      </c>
      <c r="F466" s="14">
        <f t="shared" si="18"/>
        <v>0</v>
      </c>
    </row>
    <row r="467" spans="2:6" ht="20.25" customHeight="1">
      <c r="B467" s="13" t="s">
        <v>224</v>
      </c>
      <c r="C467" s="184"/>
      <c r="D467" s="209">
        <v>31700</v>
      </c>
      <c r="E467" s="209">
        <v>31700</v>
      </c>
      <c r="F467" s="14">
        <f t="shared" si="18"/>
        <v>0</v>
      </c>
    </row>
    <row r="468" spans="2:6" ht="20.25" customHeight="1">
      <c r="B468" s="13" t="s">
        <v>225</v>
      </c>
      <c r="C468" s="184"/>
      <c r="D468" s="209">
        <v>31800</v>
      </c>
      <c r="E468" s="209">
        <v>31800</v>
      </c>
      <c r="F468" s="14">
        <f t="shared" si="18"/>
        <v>0</v>
      </c>
    </row>
    <row r="469" spans="2:6" ht="20.25" customHeight="1">
      <c r="B469" s="13" t="s">
        <v>226</v>
      </c>
      <c r="C469" s="184"/>
      <c r="D469" s="209">
        <v>29104</v>
      </c>
      <c r="E469" s="209">
        <v>29104</v>
      </c>
      <c r="F469" s="191">
        <f t="shared" si="18"/>
        <v>0</v>
      </c>
    </row>
    <row r="470" spans="2:6" ht="20.25" customHeight="1" thickBot="1">
      <c r="B470" s="208" t="s">
        <v>46</v>
      </c>
      <c r="C470" s="15">
        <f>SUM(C453:C465)</f>
        <v>910930.16</v>
      </c>
      <c r="D470" s="15">
        <f>SUM(D453:D469)</f>
        <v>262061.16999999998</v>
      </c>
      <c r="E470" s="186">
        <f>SUM(E453:E469)</f>
        <v>216082.69</v>
      </c>
      <c r="F470" s="192">
        <f>SUM(F453:F469)</f>
        <v>956908.6400000001</v>
      </c>
    </row>
    <row r="471" ht="20.25" customHeight="1" thickTop="1"/>
    <row r="472" spans="2:6" ht="20.25" customHeight="1">
      <c r="B472" s="146" t="s">
        <v>18</v>
      </c>
      <c r="C472" s="344" t="s">
        <v>448</v>
      </c>
      <c r="D472" s="344"/>
      <c r="E472" s="176"/>
      <c r="F472" s="177"/>
    </row>
    <row r="473" spans="2:6" ht="20.25" customHeight="1">
      <c r="B473" s="9" t="s">
        <v>78</v>
      </c>
      <c r="C473" s="178" t="s">
        <v>113</v>
      </c>
      <c r="D473" s="9" t="s">
        <v>109</v>
      </c>
      <c r="E473" s="9" t="s">
        <v>111</v>
      </c>
      <c r="F473" s="178" t="s">
        <v>114</v>
      </c>
    </row>
    <row r="474" spans="2:6" ht="20.25" customHeight="1">
      <c r="B474" s="189" t="s">
        <v>210</v>
      </c>
      <c r="C474" s="182">
        <v>1500</v>
      </c>
      <c r="D474" s="190"/>
      <c r="E474" s="182"/>
      <c r="F474" s="14">
        <f aca="true" t="shared" si="19" ref="F474:F484">C474-E474</f>
        <v>1500</v>
      </c>
    </row>
    <row r="475" spans="2:6" ht="20.25" customHeight="1">
      <c r="B475" s="189" t="s">
        <v>211</v>
      </c>
      <c r="C475" s="182">
        <v>1000</v>
      </c>
      <c r="D475" s="190"/>
      <c r="E475" s="182"/>
      <c r="F475" s="14">
        <f t="shared" si="19"/>
        <v>1000</v>
      </c>
    </row>
    <row r="476" spans="2:6" ht="20.25" customHeight="1">
      <c r="B476" s="189" t="s">
        <v>213</v>
      </c>
      <c r="C476" s="182">
        <v>0</v>
      </c>
      <c r="D476" s="190"/>
      <c r="E476" s="182"/>
      <c r="F476" s="14">
        <f t="shared" si="19"/>
        <v>0</v>
      </c>
    </row>
    <row r="477" spans="2:6" ht="20.25" customHeight="1">
      <c r="B477" s="189" t="s">
        <v>214</v>
      </c>
      <c r="C477" s="182">
        <v>0</v>
      </c>
      <c r="D477" s="190"/>
      <c r="E477" s="182"/>
      <c r="F477" s="14">
        <f t="shared" si="19"/>
        <v>0</v>
      </c>
    </row>
    <row r="478" spans="2:6" ht="20.25" customHeight="1">
      <c r="B478" s="189" t="s">
        <v>215</v>
      </c>
      <c r="C478" s="182">
        <v>0</v>
      </c>
      <c r="D478" s="190"/>
      <c r="E478" s="182"/>
      <c r="F478" s="14">
        <f t="shared" si="19"/>
        <v>0</v>
      </c>
    </row>
    <row r="479" spans="2:6" ht="20.25" customHeight="1">
      <c r="B479" s="189" t="s">
        <v>187</v>
      </c>
      <c r="C479" s="182">
        <v>164.5</v>
      </c>
      <c r="D479" s="14"/>
      <c r="E479" s="182"/>
      <c r="F479" s="14">
        <f t="shared" si="19"/>
        <v>164.5</v>
      </c>
    </row>
    <row r="480" spans="2:6" ht="20.25" customHeight="1">
      <c r="B480" s="189" t="s">
        <v>187</v>
      </c>
      <c r="C480" s="182"/>
      <c r="D480" s="14"/>
      <c r="E480" s="182"/>
      <c r="F480" s="14">
        <f t="shared" si="19"/>
        <v>0</v>
      </c>
    </row>
    <row r="481" spans="2:6" ht="20.25" customHeight="1">
      <c r="B481" s="189" t="s">
        <v>218</v>
      </c>
      <c r="C481" s="182"/>
      <c r="D481" s="14"/>
      <c r="E481" s="182"/>
      <c r="F481" s="14">
        <f t="shared" si="19"/>
        <v>0</v>
      </c>
    </row>
    <row r="482" spans="2:6" ht="20.25" customHeight="1">
      <c r="B482" s="189" t="s">
        <v>219</v>
      </c>
      <c r="C482" s="182"/>
      <c r="D482" s="14"/>
      <c r="E482" s="182"/>
      <c r="F482" s="14">
        <f t="shared" si="19"/>
        <v>0</v>
      </c>
    </row>
    <row r="483" spans="2:6" ht="20.25" customHeight="1">
      <c r="B483" s="189" t="s">
        <v>220</v>
      </c>
      <c r="C483" s="182"/>
      <c r="D483" s="14"/>
      <c r="E483" s="182"/>
      <c r="F483" s="14">
        <f t="shared" si="19"/>
        <v>0</v>
      </c>
    </row>
    <row r="484" spans="2:6" ht="20.25" customHeight="1">
      <c r="B484" s="189" t="s">
        <v>221</v>
      </c>
      <c r="C484" s="182"/>
      <c r="D484" s="14"/>
      <c r="E484" s="182"/>
      <c r="F484" s="14">
        <f t="shared" si="19"/>
        <v>0</v>
      </c>
    </row>
    <row r="485" spans="2:6" ht="20.25" customHeight="1" thickBot="1">
      <c r="B485" s="185" t="s">
        <v>46</v>
      </c>
      <c r="C485" s="15">
        <f>SUM(C474:C484)</f>
        <v>2664.5</v>
      </c>
      <c r="D485" s="15">
        <f>SUM(D479:D483)</f>
        <v>0</v>
      </c>
      <c r="E485" s="186">
        <f>SUM(E474:E484)</f>
        <v>0</v>
      </c>
      <c r="F485" s="178">
        <f>SUM(F474:F484)</f>
        <v>2664.5</v>
      </c>
    </row>
    <row r="486" spans="2:6" ht="20.25" customHeight="1" thickTop="1">
      <c r="B486" s="145"/>
      <c r="D486" s="182"/>
      <c r="E486" s="182"/>
      <c r="F486" s="194"/>
    </row>
    <row r="491" spans="2:6" ht="20.25" customHeight="1">
      <c r="B491" s="8" t="s">
        <v>79</v>
      </c>
      <c r="C491" s="344" t="s">
        <v>450</v>
      </c>
      <c r="D491" s="344"/>
      <c r="E491" s="193"/>
      <c r="F491" s="194"/>
    </row>
    <row r="492" spans="2:6" ht="20.25" customHeight="1">
      <c r="B492" s="345" t="s">
        <v>78</v>
      </c>
      <c r="C492" s="345"/>
      <c r="D492" s="9" t="s">
        <v>113</v>
      </c>
      <c r="E492" s="17" t="s">
        <v>109</v>
      </c>
      <c r="F492" s="178" t="s">
        <v>114</v>
      </c>
    </row>
    <row r="493" spans="2:6" ht="20.25" customHeight="1">
      <c r="B493" s="195" t="s">
        <v>19</v>
      </c>
      <c r="C493" s="196"/>
      <c r="D493" s="188">
        <v>39439.1</v>
      </c>
      <c r="E493" s="12">
        <v>2180.11</v>
      </c>
      <c r="F493" s="204">
        <f>E493+D493</f>
        <v>41619.21</v>
      </c>
    </row>
    <row r="494" spans="2:6" ht="20.25" customHeight="1">
      <c r="B494" s="197" t="s">
        <v>177</v>
      </c>
      <c r="C494" s="198"/>
      <c r="D494" s="188">
        <v>2000</v>
      </c>
      <c r="E494" s="14"/>
      <c r="F494" s="204">
        <f>E494+D494</f>
        <v>2000</v>
      </c>
    </row>
    <row r="495" spans="2:6" ht="20.25" customHeight="1">
      <c r="B495" s="197" t="s">
        <v>172</v>
      </c>
      <c r="C495" s="198"/>
      <c r="D495" s="188">
        <v>23050.75</v>
      </c>
      <c r="E495" s="14">
        <v>4520.25</v>
      </c>
      <c r="F495" s="204">
        <f aca="true" t="shared" si="20" ref="F495:F519">E495+D495</f>
        <v>27571</v>
      </c>
    </row>
    <row r="496" spans="2:6" ht="20.25" customHeight="1">
      <c r="B496" s="197" t="s">
        <v>23</v>
      </c>
      <c r="C496" s="198"/>
      <c r="D496" s="188">
        <v>4246</v>
      </c>
      <c r="E496" s="14">
        <v>2770</v>
      </c>
      <c r="F496" s="204">
        <f t="shared" si="20"/>
        <v>7016</v>
      </c>
    </row>
    <row r="497" spans="2:6" ht="20.25" customHeight="1">
      <c r="B497" s="197" t="s">
        <v>169</v>
      </c>
      <c r="C497" s="198"/>
      <c r="D497" s="188">
        <v>200</v>
      </c>
      <c r="E497" s="14"/>
      <c r="F497" s="204">
        <f t="shared" si="20"/>
        <v>200</v>
      </c>
    </row>
    <row r="498" spans="2:6" ht="20.25" customHeight="1">
      <c r="B498" s="197" t="s">
        <v>188</v>
      </c>
      <c r="C498" s="198"/>
      <c r="D498" s="188">
        <v>6900</v>
      </c>
      <c r="E498" s="14"/>
      <c r="F498" s="204">
        <f t="shared" si="20"/>
        <v>6900</v>
      </c>
    </row>
    <row r="499" spans="2:6" ht="20.25" customHeight="1">
      <c r="B499" s="197" t="s">
        <v>227</v>
      </c>
      <c r="C499" s="198"/>
      <c r="D499" s="188">
        <v>756.6</v>
      </c>
      <c r="E499" s="14">
        <v>77.6</v>
      </c>
      <c r="F499" s="204">
        <f t="shared" si="20"/>
        <v>834.2</v>
      </c>
    </row>
    <row r="500" spans="2:6" ht="20.25" customHeight="1">
      <c r="B500" s="236" t="s">
        <v>198</v>
      </c>
      <c r="C500" s="198"/>
      <c r="D500" s="188">
        <v>500</v>
      </c>
      <c r="E500" s="14"/>
      <c r="F500" s="204">
        <f t="shared" si="20"/>
        <v>500</v>
      </c>
    </row>
    <row r="501" spans="2:6" ht="20.25" customHeight="1">
      <c r="B501" s="197" t="s">
        <v>27</v>
      </c>
      <c r="C501" s="198"/>
      <c r="D501" s="188">
        <v>5200</v>
      </c>
      <c r="E501" s="14"/>
      <c r="F501" s="204">
        <f t="shared" si="20"/>
        <v>5200</v>
      </c>
    </row>
    <row r="502" spans="2:6" ht="20.25" customHeight="1">
      <c r="B502" s="197" t="s">
        <v>43</v>
      </c>
      <c r="C502" s="198"/>
      <c r="D502" s="188">
        <v>8269.4</v>
      </c>
      <c r="E502" s="14"/>
      <c r="F502" s="204">
        <f t="shared" si="20"/>
        <v>8269.4</v>
      </c>
    </row>
    <row r="503" spans="2:6" ht="20.25" customHeight="1">
      <c r="B503" s="197" t="s">
        <v>174</v>
      </c>
      <c r="C503" s="198"/>
      <c r="D503" s="188">
        <v>23672.04</v>
      </c>
      <c r="E503" s="14"/>
      <c r="F503" s="204">
        <f t="shared" si="20"/>
        <v>23672.04</v>
      </c>
    </row>
    <row r="504" spans="2:6" ht="20.25" customHeight="1">
      <c r="B504" s="197" t="s">
        <v>409</v>
      </c>
      <c r="C504" s="198"/>
      <c r="D504" s="188">
        <v>11022.62</v>
      </c>
      <c r="E504" s="14">
        <v>12632.77</v>
      </c>
      <c r="F504" s="204">
        <f t="shared" si="20"/>
        <v>23655.39</v>
      </c>
    </row>
    <row r="505" spans="2:6" ht="20.25" customHeight="1">
      <c r="B505" s="197" t="s">
        <v>171</v>
      </c>
      <c r="C505" s="198"/>
      <c r="D505" s="188">
        <v>4420735.71</v>
      </c>
      <c r="E505" s="14">
        <v>1520999.52</v>
      </c>
      <c r="F505" s="204">
        <f t="shared" si="20"/>
        <v>5941735.23</v>
      </c>
    </row>
    <row r="506" spans="2:6" ht="20.25" customHeight="1">
      <c r="B506" s="197" t="s">
        <v>10</v>
      </c>
      <c r="C506" s="198"/>
      <c r="D506" s="188">
        <v>182494</v>
      </c>
      <c r="E506" s="14">
        <v>18490</v>
      </c>
      <c r="F506" s="204">
        <f t="shared" si="20"/>
        <v>200984</v>
      </c>
    </row>
    <row r="507" spans="2:6" ht="20.25" customHeight="1">
      <c r="B507" s="197" t="s">
        <v>176</v>
      </c>
      <c r="C507" s="198"/>
      <c r="D507" s="188">
        <v>96742.29</v>
      </c>
      <c r="E507" s="14">
        <v>111256.8</v>
      </c>
      <c r="F507" s="204">
        <f t="shared" si="20"/>
        <v>207999.09</v>
      </c>
    </row>
    <row r="508" spans="2:6" ht="20.25" customHeight="1">
      <c r="B508" s="197" t="s">
        <v>9</v>
      </c>
      <c r="C508" s="198"/>
      <c r="D508" s="188">
        <v>913045.91</v>
      </c>
      <c r="E508" s="14">
        <v>79858.83</v>
      </c>
      <c r="F508" s="204">
        <f t="shared" si="20"/>
        <v>992904.74</v>
      </c>
    </row>
    <row r="509" spans="2:6" ht="20.25" customHeight="1">
      <c r="B509" s="197" t="s">
        <v>24</v>
      </c>
      <c r="C509" s="198"/>
      <c r="D509" s="188">
        <v>40294.79</v>
      </c>
      <c r="E509" s="14">
        <v>7218.78</v>
      </c>
      <c r="F509" s="204">
        <f t="shared" si="20"/>
        <v>47513.57</v>
      </c>
    </row>
    <row r="510" spans="2:6" ht="20.25" customHeight="1">
      <c r="B510" s="197" t="s">
        <v>20</v>
      </c>
      <c r="C510" s="198"/>
      <c r="D510" s="188">
        <v>427291.29</v>
      </c>
      <c r="E510" s="14">
        <v>60111.76</v>
      </c>
      <c r="F510" s="204">
        <f t="shared" si="20"/>
        <v>487403.05</v>
      </c>
    </row>
    <row r="511" spans="2:6" ht="20.25" customHeight="1">
      <c r="B511" s="197" t="s">
        <v>21</v>
      </c>
      <c r="C511" s="198"/>
      <c r="D511" s="188">
        <v>1012743.89</v>
      </c>
      <c r="E511" s="14">
        <v>148930.61</v>
      </c>
      <c r="F511" s="204">
        <f t="shared" si="20"/>
        <v>1161674.5</v>
      </c>
    </row>
    <row r="512" spans="2:6" ht="20.25" customHeight="1">
      <c r="B512" s="197" t="s">
        <v>22</v>
      </c>
      <c r="C512" s="198"/>
      <c r="D512" s="188">
        <v>10584.08</v>
      </c>
      <c r="E512" s="14">
        <v>5935</v>
      </c>
      <c r="F512" s="204">
        <f t="shared" si="20"/>
        <v>16519.08</v>
      </c>
    </row>
    <row r="513" spans="2:6" ht="20.25" customHeight="1">
      <c r="B513" s="197" t="s">
        <v>28</v>
      </c>
      <c r="C513" s="198"/>
      <c r="D513" s="188">
        <v>2663261</v>
      </c>
      <c r="E513" s="14"/>
      <c r="F513" s="204">
        <f t="shared" si="20"/>
        <v>2663261</v>
      </c>
    </row>
    <row r="514" spans="2:6" ht="20.25" customHeight="1">
      <c r="B514" s="197" t="s">
        <v>393</v>
      </c>
      <c r="C514" s="198"/>
      <c r="D514" s="188">
        <v>3197400</v>
      </c>
      <c r="E514" s="14"/>
      <c r="F514" s="204">
        <f t="shared" si="20"/>
        <v>3197400</v>
      </c>
    </row>
    <row r="515" spans="2:6" ht="20.25" customHeight="1">
      <c r="B515" s="197" t="s">
        <v>394</v>
      </c>
      <c r="C515" s="198"/>
      <c r="D515" s="188">
        <v>525600</v>
      </c>
      <c r="E515" s="14"/>
      <c r="F515" s="204">
        <f t="shared" si="20"/>
        <v>525600</v>
      </c>
    </row>
    <row r="516" spans="2:6" ht="20.25" customHeight="1">
      <c r="B516" s="197" t="s">
        <v>395</v>
      </c>
      <c r="C516" s="198"/>
      <c r="D516" s="188">
        <v>18000</v>
      </c>
      <c r="E516" s="14"/>
      <c r="F516" s="204">
        <f t="shared" si="20"/>
        <v>18000</v>
      </c>
    </row>
    <row r="517" spans="2:6" ht="20.25" customHeight="1">
      <c r="B517" s="197" t="s">
        <v>396</v>
      </c>
      <c r="C517" s="198"/>
      <c r="D517" s="188">
        <v>327540</v>
      </c>
      <c r="E517" s="14"/>
      <c r="F517" s="204">
        <f t="shared" si="20"/>
        <v>327540</v>
      </c>
    </row>
    <row r="518" spans="2:6" ht="20.25" customHeight="1">
      <c r="B518" s="197" t="s">
        <v>402</v>
      </c>
      <c r="C518" s="198"/>
      <c r="D518" s="188">
        <v>100300</v>
      </c>
      <c r="E518" s="14"/>
      <c r="F518" s="204">
        <f t="shared" si="20"/>
        <v>100300</v>
      </c>
    </row>
    <row r="519" spans="2:6" ht="20.25" customHeight="1">
      <c r="B519" s="197" t="s">
        <v>397</v>
      </c>
      <c r="C519" s="198"/>
      <c r="D519" s="188">
        <v>84792</v>
      </c>
      <c r="E519" s="14"/>
      <c r="F519" s="204">
        <f t="shared" si="20"/>
        <v>84792</v>
      </c>
    </row>
    <row r="520" spans="2:6" ht="20.25" customHeight="1">
      <c r="B520" s="197" t="s">
        <v>398</v>
      </c>
      <c r="C520" s="198"/>
      <c r="D520" s="188">
        <v>218300</v>
      </c>
      <c r="E520" s="14"/>
      <c r="F520" s="204">
        <f>E520+D520</f>
        <v>218300</v>
      </c>
    </row>
    <row r="521" spans="2:6" ht="20.25" customHeight="1">
      <c r="B521" s="197" t="s">
        <v>399</v>
      </c>
      <c r="C521" s="198"/>
      <c r="D521" s="188">
        <v>358807</v>
      </c>
      <c r="E521" s="14"/>
      <c r="F521" s="204">
        <f>E521+D521</f>
        <v>358807</v>
      </c>
    </row>
    <row r="522" spans="2:8" ht="20.25" customHeight="1">
      <c r="B522" s="197" t="s">
        <v>400</v>
      </c>
      <c r="C522" s="198"/>
      <c r="D522" s="188">
        <v>749000</v>
      </c>
      <c r="E522" s="14"/>
      <c r="F522" s="204">
        <f>E522+D522</f>
        <v>749000</v>
      </c>
      <c r="H522" s="188">
        <f>F524-'ประกอบงบรับ-จ่าย'!D465</f>
        <v>0</v>
      </c>
    </row>
    <row r="523" spans="2:6" ht="20.25" customHeight="1">
      <c r="B523" s="197"/>
      <c r="C523" s="198"/>
      <c r="D523" s="188"/>
      <c r="E523" s="14"/>
      <c r="F523" s="204"/>
    </row>
    <row r="524" spans="2:6" ht="20.25" customHeight="1" thickBot="1">
      <c r="B524" s="199" t="s">
        <v>46</v>
      </c>
      <c r="C524" s="200"/>
      <c r="D524" s="16">
        <f>SUM(D493:D522)</f>
        <v>15472188.469999999</v>
      </c>
      <c r="E524" s="201">
        <f>SUM(E493:E522)</f>
        <v>1974982.0300000003</v>
      </c>
      <c r="F524" s="202">
        <f>D524+E524</f>
        <v>17447170.5</v>
      </c>
    </row>
    <row r="525" ht="20.25" customHeight="1" thickTop="1"/>
    <row r="530" spans="2:6" ht="20.25" customHeight="1">
      <c r="B530" s="343" t="s">
        <v>112</v>
      </c>
      <c r="C530" s="343"/>
      <c r="D530" s="343"/>
      <c r="E530" s="343"/>
      <c r="F530" s="343"/>
    </row>
    <row r="531" spans="2:6" ht="20.25" customHeight="1">
      <c r="B531" s="8"/>
      <c r="C531" s="8"/>
      <c r="D531" s="8"/>
      <c r="E531" s="8"/>
      <c r="F531" s="8"/>
    </row>
    <row r="532" spans="2:6" ht="20.25" customHeight="1">
      <c r="B532" s="146" t="s">
        <v>123</v>
      </c>
      <c r="C532" s="344" t="s">
        <v>475</v>
      </c>
      <c r="D532" s="344"/>
      <c r="E532" s="176"/>
      <c r="F532" s="177"/>
    </row>
    <row r="533" spans="2:6" ht="20.25" customHeight="1">
      <c r="B533" s="9" t="s">
        <v>78</v>
      </c>
      <c r="C533" s="178" t="s">
        <v>113</v>
      </c>
      <c r="D533" s="9" t="s">
        <v>109</v>
      </c>
      <c r="E533" s="9" t="s">
        <v>111</v>
      </c>
      <c r="F533" s="179" t="s">
        <v>114</v>
      </c>
    </row>
    <row r="534" spans="2:6" ht="20.25" customHeight="1">
      <c r="B534" s="11" t="s">
        <v>110</v>
      </c>
      <c r="C534" s="180">
        <v>386695</v>
      </c>
      <c r="D534" s="12">
        <v>12275</v>
      </c>
      <c r="E534" s="181">
        <v>21250</v>
      </c>
      <c r="F534" s="12">
        <f>C534+D534-E534</f>
        <v>377720</v>
      </c>
    </row>
    <row r="535" spans="2:6" ht="20.25" customHeight="1">
      <c r="B535" s="13" t="s">
        <v>77</v>
      </c>
      <c r="C535" s="182">
        <v>329252.65</v>
      </c>
      <c r="D535" s="14">
        <v>680000</v>
      </c>
      <c r="E535" s="183"/>
      <c r="F535" s="14">
        <f>C535+D535-E535</f>
        <v>1009252.65</v>
      </c>
    </row>
    <row r="536" spans="2:6" ht="20.25" customHeight="1">
      <c r="B536" s="13" t="s">
        <v>15</v>
      </c>
      <c r="C536" s="14">
        <v>3671.78</v>
      </c>
      <c r="D536" s="188">
        <v>2471.69</v>
      </c>
      <c r="E536" s="14">
        <v>3671.78</v>
      </c>
      <c r="F536" s="14">
        <f>C536+D536-E536</f>
        <v>2471.69</v>
      </c>
    </row>
    <row r="537" spans="2:6" ht="20.25" customHeight="1">
      <c r="B537" s="13" t="s">
        <v>16</v>
      </c>
      <c r="C537" s="182">
        <v>5647.41</v>
      </c>
      <c r="D537" s="14"/>
      <c r="E537" s="183"/>
      <c r="F537" s="14">
        <f aca="true" t="shared" si="21" ref="F537:F550">C537+D537-E537</f>
        <v>5647.41</v>
      </c>
    </row>
    <row r="538" spans="2:6" ht="20.25" customHeight="1">
      <c r="B538" s="13" t="s">
        <v>17</v>
      </c>
      <c r="C538" s="182">
        <v>2658.79</v>
      </c>
      <c r="D538" s="14">
        <v>46.15</v>
      </c>
      <c r="E538" s="183"/>
      <c r="F538" s="14">
        <f t="shared" si="21"/>
        <v>2704.94</v>
      </c>
    </row>
    <row r="539" spans="2:6" ht="20.25" customHeight="1">
      <c r="B539" s="13" t="s">
        <v>141</v>
      </c>
      <c r="C539" s="182">
        <v>225</v>
      </c>
      <c r="D539" s="14"/>
      <c r="E539" s="183"/>
      <c r="F539" s="14">
        <f t="shared" si="21"/>
        <v>225</v>
      </c>
    </row>
    <row r="540" spans="2:6" ht="20.25" customHeight="1">
      <c r="B540" s="13" t="s">
        <v>173</v>
      </c>
      <c r="C540" s="182">
        <v>114.76</v>
      </c>
      <c r="D540" s="14">
        <v>0</v>
      </c>
      <c r="E540" s="183"/>
      <c r="F540" s="14">
        <f t="shared" si="21"/>
        <v>114.76</v>
      </c>
    </row>
    <row r="541" spans="2:6" ht="20.25" customHeight="1">
      <c r="B541" s="72" t="s">
        <v>204</v>
      </c>
      <c r="C541" s="14">
        <v>13000</v>
      </c>
      <c r="D541" s="14"/>
      <c r="E541" s="183"/>
      <c r="F541" s="14">
        <f t="shared" si="21"/>
        <v>13000</v>
      </c>
    </row>
    <row r="542" spans="2:6" ht="20.25" customHeight="1">
      <c r="B542" s="13" t="s">
        <v>205</v>
      </c>
      <c r="C542" s="182">
        <v>150500</v>
      </c>
      <c r="D542" s="14"/>
      <c r="E542" s="183"/>
      <c r="F542" s="14">
        <f t="shared" si="21"/>
        <v>150500</v>
      </c>
    </row>
    <row r="543" spans="2:6" ht="20.25" customHeight="1">
      <c r="B543" s="13" t="s">
        <v>206</v>
      </c>
      <c r="C543" s="182">
        <v>14400</v>
      </c>
      <c r="D543" s="14"/>
      <c r="E543" s="183"/>
      <c r="F543" s="14">
        <f t="shared" si="21"/>
        <v>14400</v>
      </c>
    </row>
    <row r="544" spans="2:6" ht="20.25" customHeight="1">
      <c r="B544" s="13" t="s">
        <v>207</v>
      </c>
      <c r="C544" s="182">
        <v>743.25</v>
      </c>
      <c r="D544" s="14"/>
      <c r="E544" s="183"/>
      <c r="F544" s="14">
        <f t="shared" si="21"/>
        <v>743.25</v>
      </c>
    </row>
    <row r="545" spans="2:6" ht="20.25" customHeight="1">
      <c r="B545" s="155" t="s">
        <v>426</v>
      </c>
      <c r="C545" s="14">
        <v>50000</v>
      </c>
      <c r="D545" s="14">
        <v>0</v>
      </c>
      <c r="E545" s="183"/>
      <c r="F545" s="14">
        <f t="shared" si="21"/>
        <v>50000</v>
      </c>
    </row>
    <row r="546" spans="2:6" ht="20.25" customHeight="1">
      <c r="B546" s="13" t="s">
        <v>168</v>
      </c>
      <c r="C546" s="279">
        <v>0</v>
      </c>
      <c r="D546" s="14">
        <v>7853</v>
      </c>
      <c r="E546" s="183">
        <v>7853</v>
      </c>
      <c r="F546" s="14">
        <f t="shared" si="21"/>
        <v>0</v>
      </c>
    </row>
    <row r="547" spans="2:6" ht="20.25" customHeight="1">
      <c r="B547" s="13" t="s">
        <v>223</v>
      </c>
      <c r="C547" s="184"/>
      <c r="D547" s="209">
        <v>64788</v>
      </c>
      <c r="E547" s="209">
        <v>64788</v>
      </c>
      <c r="F547" s="14">
        <f t="shared" si="21"/>
        <v>0</v>
      </c>
    </row>
    <row r="548" spans="2:6" ht="20.25" customHeight="1">
      <c r="B548" s="13" t="s">
        <v>224</v>
      </c>
      <c r="C548" s="184"/>
      <c r="D548" s="209">
        <v>36700</v>
      </c>
      <c r="E548" s="209">
        <v>36700</v>
      </c>
      <c r="F548" s="14">
        <f t="shared" si="21"/>
        <v>0</v>
      </c>
    </row>
    <row r="549" spans="2:6" ht="20.25" customHeight="1">
      <c r="B549" s="13" t="s">
        <v>225</v>
      </c>
      <c r="C549" s="184"/>
      <c r="D549" s="209">
        <v>30800</v>
      </c>
      <c r="E549" s="209">
        <v>30800</v>
      </c>
      <c r="F549" s="14">
        <f t="shared" si="21"/>
        <v>0</v>
      </c>
    </row>
    <row r="550" spans="2:6" ht="20.25" customHeight="1">
      <c r="B550" s="13" t="s">
        <v>226</v>
      </c>
      <c r="C550" s="184"/>
      <c r="D550" s="209">
        <v>28521</v>
      </c>
      <c r="E550" s="209">
        <v>28521</v>
      </c>
      <c r="F550" s="191">
        <f t="shared" si="21"/>
        <v>0</v>
      </c>
    </row>
    <row r="551" spans="2:6" ht="20.25" customHeight="1" thickBot="1">
      <c r="B551" s="208" t="s">
        <v>46</v>
      </c>
      <c r="C551" s="15">
        <f>SUM(C534:C546)</f>
        <v>956908.6400000001</v>
      </c>
      <c r="D551" s="15">
        <f>SUM(D534:D550)</f>
        <v>863454.84</v>
      </c>
      <c r="E551" s="186">
        <f>SUM(E534:E550)</f>
        <v>193583.78</v>
      </c>
      <c r="F551" s="192">
        <f>SUM(F534:F550)</f>
        <v>1626779.6999999997</v>
      </c>
    </row>
    <row r="552" ht="20.25" customHeight="1" thickTop="1"/>
    <row r="553" spans="2:6" ht="20.25" customHeight="1">
      <c r="B553" s="146" t="s">
        <v>18</v>
      </c>
      <c r="C553" s="344" t="s">
        <v>475</v>
      </c>
      <c r="D553" s="344"/>
      <c r="E553" s="176"/>
      <c r="F553" s="177"/>
    </row>
    <row r="554" spans="2:6" ht="20.25" customHeight="1">
      <c r="B554" s="9" t="s">
        <v>78</v>
      </c>
      <c r="C554" s="178" t="s">
        <v>113</v>
      </c>
      <c r="D554" s="9" t="s">
        <v>109</v>
      </c>
      <c r="E554" s="9" t="s">
        <v>111</v>
      </c>
      <c r="F554" s="178" t="s">
        <v>114</v>
      </c>
    </row>
    <row r="555" spans="2:6" ht="20.25" customHeight="1">
      <c r="B555" s="189" t="s">
        <v>210</v>
      </c>
      <c r="C555" s="182">
        <v>1500</v>
      </c>
      <c r="D555" s="190"/>
      <c r="E555" s="182"/>
      <c r="F555" s="14">
        <f aca="true" t="shared" si="22" ref="F555:F565">C555-E555</f>
        <v>1500</v>
      </c>
    </row>
    <row r="556" spans="2:6" ht="20.25" customHeight="1">
      <c r="B556" s="189" t="s">
        <v>211</v>
      </c>
      <c r="C556" s="182">
        <v>1000</v>
      </c>
      <c r="D556" s="190"/>
      <c r="E556" s="182"/>
      <c r="F556" s="14">
        <f t="shared" si="22"/>
        <v>1000</v>
      </c>
    </row>
    <row r="557" spans="2:6" ht="20.25" customHeight="1">
      <c r="B557" s="189" t="s">
        <v>213</v>
      </c>
      <c r="C557" s="182">
        <v>0</v>
      </c>
      <c r="D557" s="190"/>
      <c r="E557" s="182"/>
      <c r="F557" s="14">
        <f t="shared" si="22"/>
        <v>0</v>
      </c>
    </row>
    <row r="558" spans="2:6" ht="20.25" customHeight="1">
      <c r="B558" s="189" t="s">
        <v>214</v>
      </c>
      <c r="C558" s="182">
        <v>0</v>
      </c>
      <c r="D558" s="190"/>
      <c r="E558" s="182"/>
      <c r="F558" s="14">
        <f t="shared" si="22"/>
        <v>0</v>
      </c>
    </row>
    <row r="559" spans="2:6" ht="20.25" customHeight="1">
      <c r="B559" s="189" t="s">
        <v>215</v>
      </c>
      <c r="C559" s="182">
        <v>0</v>
      </c>
      <c r="D559" s="190"/>
      <c r="E559" s="182"/>
      <c r="F559" s="14">
        <f t="shared" si="22"/>
        <v>0</v>
      </c>
    </row>
    <row r="560" spans="2:6" ht="20.25" customHeight="1">
      <c r="B560" s="189" t="s">
        <v>187</v>
      </c>
      <c r="C560" s="182">
        <v>164.5</v>
      </c>
      <c r="D560" s="14"/>
      <c r="E560" s="182"/>
      <c r="F560" s="14">
        <f t="shared" si="22"/>
        <v>164.5</v>
      </c>
    </row>
    <row r="561" spans="2:6" ht="20.25" customHeight="1">
      <c r="B561" s="189" t="s">
        <v>187</v>
      </c>
      <c r="C561" s="182"/>
      <c r="D561" s="14"/>
      <c r="E561" s="182"/>
      <c r="F561" s="14">
        <f t="shared" si="22"/>
        <v>0</v>
      </c>
    </row>
    <row r="562" spans="2:6" ht="20.25" customHeight="1">
      <c r="B562" s="189" t="s">
        <v>218</v>
      </c>
      <c r="C562" s="182"/>
      <c r="D562" s="14"/>
      <c r="E562" s="182"/>
      <c r="F562" s="14">
        <f t="shared" si="22"/>
        <v>0</v>
      </c>
    </row>
    <row r="563" spans="2:6" ht="20.25" customHeight="1">
      <c r="B563" s="189" t="s">
        <v>219</v>
      </c>
      <c r="C563" s="182"/>
      <c r="D563" s="14"/>
      <c r="E563" s="182"/>
      <c r="F563" s="14">
        <f t="shared" si="22"/>
        <v>0</v>
      </c>
    </row>
    <row r="564" spans="2:6" ht="20.25" customHeight="1">
      <c r="B564" s="189" t="s">
        <v>220</v>
      </c>
      <c r="C564" s="182"/>
      <c r="D564" s="14"/>
      <c r="E564" s="182"/>
      <c r="F564" s="14">
        <f t="shared" si="22"/>
        <v>0</v>
      </c>
    </row>
    <row r="565" spans="2:6" ht="20.25" customHeight="1">
      <c r="B565" s="189" t="s">
        <v>221</v>
      </c>
      <c r="C565" s="182"/>
      <c r="D565" s="14"/>
      <c r="E565" s="182"/>
      <c r="F565" s="14">
        <f t="shared" si="22"/>
        <v>0</v>
      </c>
    </row>
    <row r="566" spans="2:6" ht="20.25" customHeight="1" thickBot="1">
      <c r="B566" s="185" t="s">
        <v>46</v>
      </c>
      <c r="C566" s="15">
        <f>SUM(C555:C565)</f>
        <v>2664.5</v>
      </c>
      <c r="D566" s="15">
        <f>SUM(D560:D564)</f>
        <v>0</v>
      </c>
      <c r="E566" s="186">
        <f>SUM(E555:E565)</f>
        <v>0</v>
      </c>
      <c r="F566" s="178">
        <f>SUM(F555:F565)</f>
        <v>2664.5</v>
      </c>
    </row>
    <row r="567" spans="2:6" ht="20.25" customHeight="1" thickTop="1">
      <c r="B567" s="145"/>
      <c r="D567" s="182"/>
      <c r="E567" s="182"/>
      <c r="F567" s="194"/>
    </row>
    <row r="572" spans="2:6" ht="20.25" customHeight="1">
      <c r="B572" s="8" t="s">
        <v>79</v>
      </c>
      <c r="C572" s="344" t="s">
        <v>475</v>
      </c>
      <c r="D572" s="344"/>
      <c r="E572" s="193"/>
      <c r="F572" s="194"/>
    </row>
    <row r="573" spans="2:6" ht="20.25" customHeight="1">
      <c r="B573" s="345" t="s">
        <v>78</v>
      </c>
      <c r="C573" s="345"/>
      <c r="D573" s="9" t="s">
        <v>113</v>
      </c>
      <c r="E573" s="17" t="s">
        <v>109</v>
      </c>
      <c r="F573" s="178" t="s">
        <v>114</v>
      </c>
    </row>
    <row r="574" spans="2:6" ht="20.25" customHeight="1">
      <c r="B574" s="195" t="s">
        <v>19</v>
      </c>
      <c r="C574" s="196"/>
      <c r="D574" s="188">
        <v>41619.21</v>
      </c>
      <c r="E574" s="12">
        <v>722.1</v>
      </c>
      <c r="F574" s="204">
        <f>E574+D574</f>
        <v>42341.31</v>
      </c>
    </row>
    <row r="575" spans="2:6" ht="20.25" customHeight="1">
      <c r="B575" s="197" t="s">
        <v>177</v>
      </c>
      <c r="C575" s="198"/>
      <c r="D575" s="188">
        <v>2000</v>
      </c>
      <c r="E575" s="14"/>
      <c r="F575" s="204">
        <f>E575+D575</f>
        <v>2000</v>
      </c>
    </row>
    <row r="576" spans="2:6" ht="20.25" customHeight="1">
      <c r="B576" s="197" t="s">
        <v>172</v>
      </c>
      <c r="C576" s="198"/>
      <c r="D576" s="188">
        <v>27571</v>
      </c>
      <c r="E576" s="14"/>
      <c r="F576" s="204">
        <f aca="true" t="shared" si="23" ref="F576:F600">E576+D576</f>
        <v>27571</v>
      </c>
    </row>
    <row r="577" spans="2:6" ht="20.25" customHeight="1">
      <c r="B577" s="197" t="s">
        <v>23</v>
      </c>
      <c r="C577" s="198"/>
      <c r="D577" s="188">
        <v>7016</v>
      </c>
      <c r="E577" s="14"/>
      <c r="F577" s="204">
        <f t="shared" si="23"/>
        <v>7016</v>
      </c>
    </row>
    <row r="578" spans="2:6" ht="20.25" customHeight="1">
      <c r="B578" s="197" t="s">
        <v>169</v>
      </c>
      <c r="C578" s="198"/>
      <c r="D578" s="188">
        <v>200</v>
      </c>
      <c r="E578" s="14"/>
      <c r="F578" s="204">
        <f t="shared" si="23"/>
        <v>200</v>
      </c>
    </row>
    <row r="579" spans="2:6" ht="20.25" customHeight="1">
      <c r="B579" s="197" t="s">
        <v>188</v>
      </c>
      <c r="C579" s="198"/>
      <c r="D579" s="188">
        <v>6900</v>
      </c>
      <c r="E579" s="14"/>
      <c r="F579" s="204">
        <f t="shared" si="23"/>
        <v>6900</v>
      </c>
    </row>
    <row r="580" spans="2:6" ht="20.25" customHeight="1">
      <c r="B580" s="197" t="s">
        <v>227</v>
      </c>
      <c r="C580" s="198"/>
      <c r="D580" s="188">
        <v>834.2</v>
      </c>
      <c r="E580" s="14"/>
      <c r="F580" s="204">
        <f t="shared" si="23"/>
        <v>834.2</v>
      </c>
    </row>
    <row r="581" spans="2:6" ht="20.25" customHeight="1">
      <c r="B581" s="236" t="s">
        <v>198</v>
      </c>
      <c r="C581" s="198"/>
      <c r="D581" s="188">
        <v>500</v>
      </c>
      <c r="E581" s="14"/>
      <c r="F581" s="204">
        <f t="shared" si="23"/>
        <v>500</v>
      </c>
    </row>
    <row r="582" spans="2:6" ht="20.25" customHeight="1">
      <c r="B582" s="197" t="s">
        <v>27</v>
      </c>
      <c r="C582" s="198"/>
      <c r="D582" s="188">
        <v>5200</v>
      </c>
      <c r="E582" s="14"/>
      <c r="F582" s="204">
        <f t="shared" si="23"/>
        <v>5200</v>
      </c>
    </row>
    <row r="583" spans="2:6" ht="20.25" customHeight="1">
      <c r="B583" s="197" t="s">
        <v>43</v>
      </c>
      <c r="C583" s="198"/>
      <c r="D583" s="188">
        <v>8269.4</v>
      </c>
      <c r="E583" s="14"/>
      <c r="F583" s="204">
        <f t="shared" si="23"/>
        <v>8269.4</v>
      </c>
    </row>
    <row r="584" spans="2:6" ht="20.25" customHeight="1">
      <c r="B584" s="197" t="s">
        <v>174</v>
      </c>
      <c r="C584" s="198"/>
      <c r="D584" s="188">
        <v>23672.04</v>
      </c>
      <c r="E584" s="14"/>
      <c r="F584" s="204">
        <f t="shared" si="23"/>
        <v>23672.04</v>
      </c>
    </row>
    <row r="585" spans="2:6" ht="20.25" customHeight="1">
      <c r="B585" s="197" t="s">
        <v>409</v>
      </c>
      <c r="C585" s="198"/>
      <c r="D585" s="188">
        <v>23655.39</v>
      </c>
      <c r="E585" s="14">
        <v>10938.47</v>
      </c>
      <c r="F585" s="204">
        <f t="shared" si="23"/>
        <v>34593.86</v>
      </c>
    </row>
    <row r="586" spans="2:6" ht="20.25" customHeight="1">
      <c r="B586" s="197" t="s">
        <v>171</v>
      </c>
      <c r="C586" s="198"/>
      <c r="D586" s="188">
        <v>5941735.23</v>
      </c>
      <c r="E586" s="14">
        <v>791746.09</v>
      </c>
      <c r="F586" s="204">
        <f t="shared" si="23"/>
        <v>6733481.32</v>
      </c>
    </row>
    <row r="587" spans="2:6" ht="20.25" customHeight="1">
      <c r="B587" s="197" t="s">
        <v>10</v>
      </c>
      <c r="C587" s="198"/>
      <c r="D587" s="188">
        <v>200984</v>
      </c>
      <c r="E587" s="14">
        <v>113030</v>
      </c>
      <c r="F587" s="204">
        <f t="shared" si="23"/>
        <v>314014</v>
      </c>
    </row>
    <row r="588" spans="2:6" ht="20.25" customHeight="1">
      <c r="B588" s="197" t="s">
        <v>176</v>
      </c>
      <c r="C588" s="198"/>
      <c r="D588" s="188">
        <v>207999.09</v>
      </c>
      <c r="E588" s="14">
        <v>40683.36</v>
      </c>
      <c r="F588" s="204">
        <f t="shared" si="23"/>
        <v>248682.45</v>
      </c>
    </row>
    <row r="589" spans="2:6" ht="20.25" customHeight="1">
      <c r="B589" s="197" t="s">
        <v>9</v>
      </c>
      <c r="C589" s="198"/>
      <c r="D589" s="188">
        <v>992904.74</v>
      </c>
      <c r="E589" s="14">
        <v>156024.29</v>
      </c>
      <c r="F589" s="204">
        <f t="shared" si="23"/>
        <v>1148929.03</v>
      </c>
    </row>
    <row r="590" spans="2:6" ht="20.25" customHeight="1">
      <c r="B590" s="197" t="s">
        <v>24</v>
      </c>
      <c r="C590" s="198"/>
      <c r="D590" s="188">
        <v>47513.57</v>
      </c>
      <c r="E590" s="14">
        <v>5078.93</v>
      </c>
      <c r="F590" s="204">
        <f t="shared" si="23"/>
        <v>52592.5</v>
      </c>
    </row>
    <row r="591" spans="2:6" ht="20.25" customHeight="1">
      <c r="B591" s="197" t="s">
        <v>20</v>
      </c>
      <c r="C591" s="198"/>
      <c r="D591" s="188">
        <v>487403.05</v>
      </c>
      <c r="E591" s="14">
        <v>55289.99</v>
      </c>
      <c r="F591" s="204">
        <f t="shared" si="23"/>
        <v>542693.04</v>
      </c>
    </row>
    <row r="592" spans="2:6" ht="20.25" customHeight="1">
      <c r="B592" s="197" t="s">
        <v>21</v>
      </c>
      <c r="C592" s="198"/>
      <c r="D592" s="188">
        <v>1161674.5</v>
      </c>
      <c r="E592" s="14">
        <v>148928.92</v>
      </c>
      <c r="F592" s="204">
        <f t="shared" si="23"/>
        <v>1310603.42</v>
      </c>
    </row>
    <row r="593" spans="2:6" ht="20.25" customHeight="1">
      <c r="B593" s="197" t="s">
        <v>22</v>
      </c>
      <c r="C593" s="198"/>
      <c r="D593" s="188">
        <v>16519.08</v>
      </c>
      <c r="E593" s="14"/>
      <c r="F593" s="204">
        <f t="shared" si="23"/>
        <v>16519.08</v>
      </c>
    </row>
    <row r="594" spans="2:6" ht="20.25" customHeight="1">
      <c r="B594" s="197" t="s">
        <v>28</v>
      </c>
      <c r="C594" s="198"/>
      <c r="D594" s="188">
        <v>2663261</v>
      </c>
      <c r="E594" s="14"/>
      <c r="F594" s="204">
        <f t="shared" si="23"/>
        <v>2663261</v>
      </c>
    </row>
    <row r="595" spans="2:6" ht="20.25" customHeight="1">
      <c r="B595" s="197" t="s">
        <v>393</v>
      </c>
      <c r="C595" s="198"/>
      <c r="D595" s="188">
        <v>3197400</v>
      </c>
      <c r="E595" s="14"/>
      <c r="F595" s="204">
        <f t="shared" si="23"/>
        <v>3197400</v>
      </c>
    </row>
    <row r="596" spans="2:6" ht="20.25" customHeight="1">
      <c r="B596" s="197" t="s">
        <v>394</v>
      </c>
      <c r="C596" s="198"/>
      <c r="D596" s="188">
        <v>525600</v>
      </c>
      <c r="E596" s="14"/>
      <c r="F596" s="204">
        <f t="shared" si="23"/>
        <v>525600</v>
      </c>
    </row>
    <row r="597" spans="2:6" ht="20.25" customHeight="1">
      <c r="B597" s="197" t="s">
        <v>395</v>
      </c>
      <c r="C597" s="198"/>
      <c r="D597" s="188">
        <v>18000</v>
      </c>
      <c r="E597" s="14"/>
      <c r="F597" s="204">
        <f t="shared" si="23"/>
        <v>18000</v>
      </c>
    </row>
    <row r="598" spans="2:6" ht="20.25" customHeight="1">
      <c r="B598" s="197" t="s">
        <v>396</v>
      </c>
      <c r="C598" s="198"/>
      <c r="D598" s="188">
        <v>327540</v>
      </c>
      <c r="E598" s="14">
        <v>114000</v>
      </c>
      <c r="F598" s="204">
        <f t="shared" si="23"/>
        <v>441540</v>
      </c>
    </row>
    <row r="599" spans="2:6" ht="20.25" customHeight="1">
      <c r="B599" s="197" t="s">
        <v>402</v>
      </c>
      <c r="C599" s="198"/>
      <c r="D599" s="188">
        <v>100300</v>
      </c>
      <c r="E599" s="14"/>
      <c r="F599" s="204">
        <f t="shared" si="23"/>
        <v>100300</v>
      </c>
    </row>
    <row r="600" spans="2:6" ht="20.25" customHeight="1">
      <c r="B600" s="197" t="s">
        <v>397</v>
      </c>
      <c r="C600" s="198"/>
      <c r="D600" s="188">
        <v>84792</v>
      </c>
      <c r="E600" s="14"/>
      <c r="F600" s="204">
        <f t="shared" si="23"/>
        <v>84792</v>
      </c>
    </row>
    <row r="601" spans="2:6" ht="20.25" customHeight="1">
      <c r="B601" s="197" t="s">
        <v>398</v>
      </c>
      <c r="C601" s="198"/>
      <c r="D601" s="188">
        <v>218300</v>
      </c>
      <c r="E601" s="14"/>
      <c r="F601" s="204">
        <f>E601+D601</f>
        <v>218300</v>
      </c>
    </row>
    <row r="602" spans="2:6" ht="20.25" customHeight="1">
      <c r="B602" s="197" t="s">
        <v>399</v>
      </c>
      <c r="C602" s="198"/>
      <c r="D602" s="188">
        <v>358807</v>
      </c>
      <c r="E602" s="14"/>
      <c r="F602" s="204">
        <f>E602+D602</f>
        <v>358807</v>
      </c>
    </row>
    <row r="603" spans="2:6" ht="20.25" customHeight="1">
      <c r="B603" s="197" t="s">
        <v>400</v>
      </c>
      <c r="C603" s="198"/>
      <c r="D603" s="188">
        <v>749000</v>
      </c>
      <c r="E603" s="14"/>
      <c r="F603" s="204">
        <f>E603+D603</f>
        <v>749000</v>
      </c>
    </row>
    <row r="604" spans="2:6" ht="20.25" customHeight="1">
      <c r="B604" s="197"/>
      <c r="C604" s="198"/>
      <c r="D604" s="188"/>
      <c r="E604" s="14"/>
      <c r="F604" s="204"/>
    </row>
    <row r="605" spans="2:6" ht="20.25" customHeight="1" thickBot="1">
      <c r="B605" s="199" t="s">
        <v>46</v>
      </c>
      <c r="C605" s="200"/>
      <c r="D605" s="16">
        <f>SUM(D574:D603)</f>
        <v>17447170.5</v>
      </c>
      <c r="E605" s="201">
        <f>SUM(E574:E603)</f>
        <v>1436442.1499999997</v>
      </c>
      <c r="F605" s="202">
        <f>D605+E605</f>
        <v>18883612.65</v>
      </c>
    </row>
    <row r="606" ht="20.25" customHeight="1" thickTop="1"/>
    <row r="613" spans="2:6" ht="20.25" customHeight="1">
      <c r="B613" s="146" t="s">
        <v>476</v>
      </c>
      <c r="C613" s="344" t="s">
        <v>475</v>
      </c>
      <c r="D613" s="344"/>
      <c r="E613" s="176"/>
      <c r="F613" s="177"/>
    </row>
    <row r="614" spans="2:6" ht="23.25" customHeight="1">
      <c r="B614" s="9" t="s">
        <v>78</v>
      </c>
      <c r="C614" s="178" t="s">
        <v>113</v>
      </c>
      <c r="D614" s="9" t="s">
        <v>109</v>
      </c>
      <c r="E614" s="9" t="s">
        <v>111</v>
      </c>
      <c r="F614" s="178" t="s">
        <v>114</v>
      </c>
    </row>
    <row r="615" spans="2:6" ht="23.25" customHeight="1">
      <c r="B615" s="189" t="s">
        <v>477</v>
      </c>
      <c r="C615" s="182">
        <v>80000</v>
      </c>
      <c r="D615" s="190"/>
      <c r="E615" s="182"/>
      <c r="F615" s="14">
        <f>C615-E615+D615</f>
        <v>80000</v>
      </c>
    </row>
    <row r="616" spans="2:6" ht="23.25" customHeight="1">
      <c r="B616" s="189" t="s">
        <v>478</v>
      </c>
      <c r="C616" s="182">
        <v>10000</v>
      </c>
      <c r="D616" s="190"/>
      <c r="E616" s="182"/>
      <c r="F616" s="14">
        <f>C616-E616</f>
        <v>10000</v>
      </c>
    </row>
    <row r="617" spans="2:6" ht="23.25" customHeight="1">
      <c r="B617" s="189" t="s">
        <v>479</v>
      </c>
      <c r="C617" s="182">
        <v>10000</v>
      </c>
      <c r="D617" s="190"/>
      <c r="E617" s="182"/>
      <c r="F617" s="14">
        <f>C617-E617</f>
        <v>10000</v>
      </c>
    </row>
    <row r="618" spans="2:6" ht="23.25" customHeight="1">
      <c r="B618" s="189" t="s">
        <v>480</v>
      </c>
      <c r="C618" s="182">
        <v>60000</v>
      </c>
      <c r="D618" s="190"/>
      <c r="E618" s="182"/>
      <c r="F618" s="14">
        <f>C618-E618</f>
        <v>60000</v>
      </c>
    </row>
    <row r="619" spans="2:6" ht="23.25" customHeight="1">
      <c r="B619" s="189" t="s">
        <v>481</v>
      </c>
      <c r="C619" s="182"/>
      <c r="D619" s="13"/>
      <c r="E619" s="14">
        <v>100000</v>
      </c>
      <c r="F619" s="14">
        <f>E619</f>
        <v>100000</v>
      </c>
    </row>
    <row r="620" spans="2:6" ht="23.25" customHeight="1">
      <c r="B620" s="189" t="s">
        <v>482</v>
      </c>
      <c r="C620" s="182"/>
      <c r="D620" s="13"/>
      <c r="E620" s="14">
        <v>100000</v>
      </c>
      <c r="F620" s="14">
        <f>E620</f>
        <v>100000</v>
      </c>
    </row>
    <row r="621" spans="2:6" ht="23.25" customHeight="1">
      <c r="B621" s="189" t="s">
        <v>484</v>
      </c>
      <c r="C621" s="182"/>
      <c r="D621" s="13"/>
      <c r="E621" s="14">
        <v>100000</v>
      </c>
      <c r="F621" s="14">
        <f>E621</f>
        <v>100000</v>
      </c>
    </row>
    <row r="622" spans="2:6" ht="23.25" customHeight="1">
      <c r="B622" s="189" t="s">
        <v>483</v>
      </c>
      <c r="C622" s="182">
        <v>100000</v>
      </c>
      <c r="D622" s="13"/>
      <c r="E622" s="14"/>
      <c r="F622" s="14">
        <f>C622</f>
        <v>100000</v>
      </c>
    </row>
    <row r="623" spans="2:6" ht="23.25" customHeight="1">
      <c r="B623" s="189" t="s">
        <v>485</v>
      </c>
      <c r="C623" s="182"/>
      <c r="D623" s="13"/>
      <c r="E623" s="14">
        <v>100000</v>
      </c>
      <c r="F623" s="14">
        <f>E623</f>
        <v>100000</v>
      </c>
    </row>
    <row r="624" spans="2:6" ht="23.25" customHeight="1">
      <c r="B624" s="189" t="s">
        <v>486</v>
      </c>
      <c r="C624" s="182"/>
      <c r="D624" s="13"/>
      <c r="E624" s="14">
        <v>100000</v>
      </c>
      <c r="F624" s="14">
        <f>E624</f>
        <v>100000</v>
      </c>
    </row>
    <row r="625" spans="2:6" ht="23.25" customHeight="1">
      <c r="B625" s="189" t="s">
        <v>487</v>
      </c>
      <c r="C625" s="182">
        <v>100000</v>
      </c>
      <c r="D625" s="14"/>
      <c r="E625" s="182"/>
      <c r="F625" s="14">
        <f>D625-E625+C625</f>
        <v>100000</v>
      </c>
    </row>
    <row r="626" spans="2:6" ht="23.25" customHeight="1">
      <c r="B626" s="189"/>
      <c r="C626" s="182"/>
      <c r="D626" s="14"/>
      <c r="E626" s="182"/>
      <c r="F626" s="14">
        <f>C626-E626</f>
        <v>0</v>
      </c>
    </row>
    <row r="627" spans="2:6" ht="23.25" customHeight="1">
      <c r="B627" s="189"/>
      <c r="C627" s="182"/>
      <c r="D627" s="14"/>
      <c r="E627" s="182"/>
      <c r="F627" s="14">
        <f>C627-E627</f>
        <v>0</v>
      </c>
    </row>
    <row r="628" spans="2:6" ht="23.25" customHeight="1" thickBot="1">
      <c r="B628" s="185" t="s">
        <v>46</v>
      </c>
      <c r="C628" s="15">
        <f>SUM(C615:C627)</f>
        <v>360000</v>
      </c>
      <c r="D628" s="15">
        <f>SUM(D620:D626)</f>
        <v>0</v>
      </c>
      <c r="E628" s="186">
        <f>SUM(E615:E627)</f>
        <v>500000</v>
      </c>
      <c r="F628" s="178">
        <f>SUM(F615:F627)</f>
        <v>860000</v>
      </c>
    </row>
    <row r="629" spans="2:6" ht="23.25" customHeight="1" thickTop="1">
      <c r="B629" s="203"/>
      <c r="C629" s="290"/>
      <c r="D629" s="290"/>
      <c r="E629" s="291"/>
      <c r="F629" s="290"/>
    </row>
    <row r="630" spans="2:6" ht="23.25" customHeight="1">
      <c r="B630" s="203"/>
      <c r="C630" s="290"/>
      <c r="D630" s="290"/>
      <c r="E630" s="291"/>
      <c r="F630" s="290"/>
    </row>
    <row r="631" spans="2:6" ht="23.25" customHeight="1">
      <c r="B631" s="203"/>
      <c r="C631" s="290"/>
      <c r="D631" s="290"/>
      <c r="E631" s="291"/>
      <c r="F631" s="290"/>
    </row>
    <row r="632" spans="2:6" ht="23.25" customHeight="1">
      <c r="B632" s="203"/>
      <c r="C632" s="290"/>
      <c r="D632" s="290"/>
      <c r="E632" s="291"/>
      <c r="F632" s="290"/>
    </row>
    <row r="633" spans="2:6" ht="23.25" customHeight="1">
      <c r="B633" s="203"/>
      <c r="C633" s="290"/>
      <c r="D633" s="290"/>
      <c r="E633" s="291"/>
      <c r="F633" s="290"/>
    </row>
    <row r="634" spans="2:6" ht="23.25" customHeight="1">
      <c r="B634" s="203"/>
      <c r="C634" s="290"/>
      <c r="D634" s="290"/>
      <c r="E634" s="291"/>
      <c r="F634" s="290"/>
    </row>
    <row r="635" spans="2:6" ht="23.25" customHeight="1">
      <c r="B635" s="203"/>
      <c r="C635" s="290"/>
      <c r="D635" s="290"/>
      <c r="E635" s="291"/>
      <c r="F635" s="290"/>
    </row>
    <row r="636" spans="2:6" ht="23.25" customHeight="1">
      <c r="B636" s="203"/>
      <c r="C636" s="290"/>
      <c r="D636" s="290"/>
      <c r="E636" s="291"/>
      <c r="F636" s="290"/>
    </row>
    <row r="637" spans="2:6" ht="23.25" customHeight="1">
      <c r="B637" s="203"/>
      <c r="C637" s="290"/>
      <c r="D637" s="290"/>
      <c r="E637" s="291"/>
      <c r="F637" s="290"/>
    </row>
    <row r="638" spans="2:6" ht="23.25" customHeight="1">
      <c r="B638" s="203"/>
      <c r="C638" s="290"/>
      <c r="D638" s="290"/>
      <c r="E638" s="291"/>
      <c r="F638" s="290"/>
    </row>
    <row r="639" spans="2:6" ht="23.25" customHeight="1">
      <c r="B639" s="203"/>
      <c r="C639" s="290"/>
      <c r="D639" s="290"/>
      <c r="E639" s="291"/>
      <c r="F639" s="290"/>
    </row>
    <row r="640" spans="2:6" ht="23.25" customHeight="1">
      <c r="B640" s="203"/>
      <c r="C640" s="290"/>
      <c r="D640" s="290"/>
      <c r="E640" s="291"/>
      <c r="F640" s="290"/>
    </row>
    <row r="641" spans="2:6" ht="23.25" customHeight="1">
      <c r="B641" s="203"/>
      <c r="C641" s="290"/>
      <c r="D641" s="290"/>
      <c r="E641" s="291"/>
      <c r="F641" s="290"/>
    </row>
    <row r="642" spans="2:6" ht="23.25" customHeight="1">
      <c r="B642" s="203"/>
      <c r="C642" s="290"/>
      <c r="D642" s="290"/>
      <c r="E642" s="291"/>
      <c r="F642" s="290"/>
    </row>
    <row r="643" spans="2:6" ht="23.25" customHeight="1">
      <c r="B643" s="203"/>
      <c r="C643" s="290"/>
      <c r="D643" s="290"/>
      <c r="E643" s="291"/>
      <c r="F643" s="290"/>
    </row>
    <row r="644" spans="2:6" ht="23.25" customHeight="1">
      <c r="B644" s="203"/>
      <c r="C644" s="290"/>
      <c r="D644" s="290"/>
      <c r="E644" s="291"/>
      <c r="F644" s="290"/>
    </row>
    <row r="645" spans="2:6" ht="23.25" customHeight="1">
      <c r="B645" s="203"/>
      <c r="C645" s="290"/>
      <c r="D645" s="290"/>
      <c r="E645" s="291"/>
      <c r="F645" s="290"/>
    </row>
    <row r="646" spans="2:6" ht="23.25" customHeight="1">
      <c r="B646" s="203"/>
      <c r="C646" s="290"/>
      <c r="D646" s="290"/>
      <c r="E646" s="291"/>
      <c r="F646" s="290"/>
    </row>
    <row r="647" spans="2:6" ht="23.25" customHeight="1">
      <c r="B647" s="203"/>
      <c r="C647" s="290"/>
      <c r="D647" s="290"/>
      <c r="E647" s="291"/>
      <c r="F647" s="290"/>
    </row>
    <row r="648" spans="2:6" ht="23.25" customHeight="1">
      <c r="B648" s="203"/>
      <c r="C648" s="290"/>
      <c r="D648" s="290"/>
      <c r="E648" s="291"/>
      <c r="F648" s="290"/>
    </row>
    <row r="649" spans="2:6" ht="23.25" customHeight="1">
      <c r="B649" s="203"/>
      <c r="C649" s="290"/>
      <c r="D649" s="290"/>
      <c r="E649" s="291"/>
      <c r="F649" s="290"/>
    </row>
    <row r="650" spans="2:6" ht="23.25" customHeight="1">
      <c r="B650" s="203"/>
      <c r="C650" s="290"/>
      <c r="D650" s="290"/>
      <c r="E650" s="291"/>
      <c r="F650" s="290"/>
    </row>
    <row r="651" spans="2:6" ht="20.25" customHeight="1">
      <c r="B651" s="343" t="s">
        <v>112</v>
      </c>
      <c r="C651" s="343"/>
      <c r="D651" s="343"/>
      <c r="E651" s="343"/>
      <c r="F651" s="343"/>
    </row>
    <row r="652" spans="2:6" ht="20.25" customHeight="1">
      <c r="B652" s="8"/>
      <c r="C652" s="8"/>
      <c r="D652" s="8"/>
      <c r="E652" s="8"/>
      <c r="F652" s="8"/>
    </row>
    <row r="653" spans="2:6" ht="20.25" customHeight="1">
      <c r="B653" s="146" t="s">
        <v>123</v>
      </c>
      <c r="C653" s="344" t="s">
        <v>475</v>
      </c>
      <c r="D653" s="344"/>
      <c r="E653" s="176"/>
      <c r="F653" s="177"/>
    </row>
    <row r="654" spans="2:6" ht="20.25" customHeight="1">
      <c r="B654" s="9" t="s">
        <v>78</v>
      </c>
      <c r="C654" s="178" t="s">
        <v>113</v>
      </c>
      <c r="D654" s="9" t="s">
        <v>109</v>
      </c>
      <c r="E654" s="9" t="s">
        <v>111</v>
      </c>
      <c r="F654" s="179" t="s">
        <v>114</v>
      </c>
    </row>
    <row r="655" spans="2:6" ht="20.25" customHeight="1">
      <c r="B655" s="11" t="s">
        <v>110</v>
      </c>
      <c r="C655" s="180">
        <v>386695</v>
      </c>
      <c r="D655" s="12">
        <v>12275</v>
      </c>
      <c r="E655" s="181">
        <v>21250</v>
      </c>
      <c r="F655" s="12">
        <f>C655+D655-E655</f>
        <v>377720</v>
      </c>
    </row>
    <row r="656" spans="2:6" ht="20.25" customHeight="1">
      <c r="B656" s="13" t="s">
        <v>77</v>
      </c>
      <c r="C656" s="182">
        <v>329252.65</v>
      </c>
      <c r="D656" s="14">
        <v>680000</v>
      </c>
      <c r="E656" s="183"/>
      <c r="F656" s="14">
        <f>C656+D656-E656</f>
        <v>1009252.65</v>
      </c>
    </row>
    <row r="657" spans="2:6" ht="20.25" customHeight="1">
      <c r="B657" s="13" t="s">
        <v>15</v>
      </c>
      <c r="C657" s="14">
        <v>3671.78</v>
      </c>
      <c r="D657" s="188">
        <v>2471.69</v>
      </c>
      <c r="E657" s="14">
        <v>3671.78</v>
      </c>
      <c r="F657" s="14">
        <f>C657+D657-E657</f>
        <v>2471.69</v>
      </c>
    </row>
    <row r="658" spans="2:6" ht="20.25" customHeight="1">
      <c r="B658" s="13" t="s">
        <v>16</v>
      </c>
      <c r="C658" s="182">
        <v>5647.41</v>
      </c>
      <c r="D658" s="14"/>
      <c r="E658" s="183"/>
      <c r="F658" s="14">
        <f aca="true" t="shared" si="24" ref="F658:F671">C658+D658-E658</f>
        <v>5647.41</v>
      </c>
    </row>
    <row r="659" spans="2:6" ht="20.25" customHeight="1">
      <c r="B659" s="13" t="s">
        <v>17</v>
      </c>
      <c r="C659" s="182">
        <v>2658.79</v>
      </c>
      <c r="D659" s="14">
        <v>46.15</v>
      </c>
      <c r="E659" s="183"/>
      <c r="F659" s="14">
        <f t="shared" si="24"/>
        <v>2704.94</v>
      </c>
    </row>
    <row r="660" spans="2:6" ht="20.25" customHeight="1">
      <c r="B660" s="13" t="s">
        <v>141</v>
      </c>
      <c r="C660" s="182">
        <v>225</v>
      </c>
      <c r="D660" s="14"/>
      <c r="E660" s="183"/>
      <c r="F660" s="14">
        <f t="shared" si="24"/>
        <v>225</v>
      </c>
    </row>
    <row r="661" spans="2:6" ht="20.25" customHeight="1">
      <c r="B661" s="13" t="s">
        <v>173</v>
      </c>
      <c r="C661" s="182">
        <v>114.76</v>
      </c>
      <c r="D661" s="14">
        <v>0</v>
      </c>
      <c r="E661" s="183"/>
      <c r="F661" s="14">
        <f t="shared" si="24"/>
        <v>114.76</v>
      </c>
    </row>
    <row r="662" spans="2:6" ht="20.25" customHeight="1">
      <c r="B662" s="72" t="s">
        <v>204</v>
      </c>
      <c r="C662" s="14">
        <v>13000</v>
      </c>
      <c r="D662" s="14"/>
      <c r="E662" s="183"/>
      <c r="F662" s="14">
        <f t="shared" si="24"/>
        <v>13000</v>
      </c>
    </row>
    <row r="663" spans="2:6" ht="20.25" customHeight="1">
      <c r="B663" s="13" t="s">
        <v>205</v>
      </c>
      <c r="C663" s="182">
        <v>150500</v>
      </c>
      <c r="D663" s="14"/>
      <c r="E663" s="183"/>
      <c r="F663" s="14">
        <f t="shared" si="24"/>
        <v>150500</v>
      </c>
    </row>
    <row r="664" spans="2:6" ht="20.25" customHeight="1">
      <c r="B664" s="13" t="s">
        <v>206</v>
      </c>
      <c r="C664" s="182">
        <v>14400</v>
      </c>
      <c r="D664" s="14"/>
      <c r="E664" s="183"/>
      <c r="F664" s="14">
        <f t="shared" si="24"/>
        <v>14400</v>
      </c>
    </row>
    <row r="665" spans="2:6" ht="20.25" customHeight="1">
      <c r="B665" s="13" t="s">
        <v>207</v>
      </c>
      <c r="C665" s="182">
        <v>743.25</v>
      </c>
      <c r="D665" s="14"/>
      <c r="E665" s="183"/>
      <c r="F665" s="14">
        <f t="shared" si="24"/>
        <v>743.25</v>
      </c>
    </row>
    <row r="666" spans="2:6" ht="20.25" customHeight="1">
      <c r="B666" s="155" t="s">
        <v>426</v>
      </c>
      <c r="C666" s="14">
        <v>50000</v>
      </c>
      <c r="D666" s="14">
        <v>0</v>
      </c>
      <c r="E666" s="183"/>
      <c r="F666" s="14">
        <f t="shared" si="24"/>
        <v>50000</v>
      </c>
    </row>
    <row r="667" spans="2:6" ht="20.25" customHeight="1">
      <c r="B667" s="13" t="s">
        <v>168</v>
      </c>
      <c r="C667" s="279">
        <v>0</v>
      </c>
      <c r="D667" s="14">
        <v>7853</v>
      </c>
      <c r="E667" s="183">
        <v>7853</v>
      </c>
      <c r="F667" s="14">
        <f t="shared" si="24"/>
        <v>0</v>
      </c>
    </row>
    <row r="668" spans="2:6" ht="20.25" customHeight="1">
      <c r="B668" s="13" t="s">
        <v>223</v>
      </c>
      <c r="C668" s="184"/>
      <c r="D668" s="209">
        <v>64788</v>
      </c>
      <c r="E668" s="209">
        <v>64788</v>
      </c>
      <c r="F668" s="14">
        <f t="shared" si="24"/>
        <v>0</v>
      </c>
    </row>
    <row r="669" spans="2:6" ht="20.25" customHeight="1">
      <c r="B669" s="13" t="s">
        <v>224</v>
      </c>
      <c r="C669" s="184"/>
      <c r="D669" s="209">
        <v>36700</v>
      </c>
      <c r="E669" s="209">
        <v>36700</v>
      </c>
      <c r="F669" s="14">
        <f t="shared" si="24"/>
        <v>0</v>
      </c>
    </row>
    <row r="670" spans="2:6" ht="20.25" customHeight="1">
      <c r="B670" s="13" t="s">
        <v>225</v>
      </c>
      <c r="C670" s="184"/>
      <c r="D670" s="209">
        <v>30800</v>
      </c>
      <c r="E670" s="209">
        <v>30800</v>
      </c>
      <c r="F670" s="14">
        <f t="shared" si="24"/>
        <v>0</v>
      </c>
    </row>
    <row r="671" spans="2:6" ht="20.25" customHeight="1">
      <c r="B671" s="13" t="s">
        <v>226</v>
      </c>
      <c r="C671" s="184"/>
      <c r="D671" s="209">
        <v>28521</v>
      </c>
      <c r="E671" s="209">
        <v>28521</v>
      </c>
      <c r="F671" s="191">
        <f t="shared" si="24"/>
        <v>0</v>
      </c>
    </row>
    <row r="672" spans="2:6" ht="20.25" customHeight="1" thickBot="1">
      <c r="B672" s="208" t="s">
        <v>46</v>
      </c>
      <c r="C672" s="15">
        <f>SUM(C655:C667)</f>
        <v>956908.6400000001</v>
      </c>
      <c r="D672" s="15">
        <f>SUM(D655:D671)</f>
        <v>863454.84</v>
      </c>
      <c r="E672" s="186">
        <f>SUM(E655:E671)</f>
        <v>193583.78</v>
      </c>
      <c r="F672" s="192">
        <f>SUM(F655:F671)</f>
        <v>1626779.6999999997</v>
      </c>
    </row>
    <row r="673" ht="20.25" customHeight="1" thickTop="1"/>
    <row r="674" spans="2:6" ht="20.25" customHeight="1">
      <c r="B674" s="146" t="s">
        <v>18</v>
      </c>
      <c r="C674" s="344" t="s">
        <v>475</v>
      </c>
      <c r="D674" s="344"/>
      <c r="E674" s="176"/>
      <c r="F674" s="177"/>
    </row>
    <row r="675" spans="2:6" ht="20.25" customHeight="1">
      <c r="B675" s="9" t="s">
        <v>78</v>
      </c>
      <c r="C675" s="178" t="s">
        <v>113</v>
      </c>
      <c r="D675" s="9" t="s">
        <v>109</v>
      </c>
      <c r="E675" s="9" t="s">
        <v>111</v>
      </c>
      <c r="F675" s="178" t="s">
        <v>114</v>
      </c>
    </row>
    <row r="676" spans="2:6" ht="20.25" customHeight="1">
      <c r="B676" s="189" t="s">
        <v>210</v>
      </c>
      <c r="C676" s="182">
        <v>1500</v>
      </c>
      <c r="D676" s="190"/>
      <c r="E676" s="182"/>
      <c r="F676" s="14">
        <f aca="true" t="shared" si="25" ref="F676:F686">C676-E676</f>
        <v>1500</v>
      </c>
    </row>
    <row r="677" spans="2:6" ht="20.25" customHeight="1">
      <c r="B677" s="189" t="s">
        <v>211</v>
      </c>
      <c r="C677" s="182">
        <v>1000</v>
      </c>
      <c r="D677" s="190"/>
      <c r="E677" s="182"/>
      <c r="F677" s="14">
        <f t="shared" si="25"/>
        <v>1000</v>
      </c>
    </row>
    <row r="678" spans="2:6" ht="20.25" customHeight="1">
      <c r="B678" s="189" t="s">
        <v>213</v>
      </c>
      <c r="C678" s="182">
        <v>0</v>
      </c>
      <c r="D678" s="190"/>
      <c r="E678" s="182"/>
      <c r="F678" s="14">
        <f t="shared" si="25"/>
        <v>0</v>
      </c>
    </row>
    <row r="679" spans="2:6" ht="20.25" customHeight="1">
      <c r="B679" s="189" t="s">
        <v>214</v>
      </c>
      <c r="C679" s="182">
        <v>0</v>
      </c>
      <c r="D679" s="190"/>
      <c r="E679" s="182"/>
      <c r="F679" s="14">
        <f t="shared" si="25"/>
        <v>0</v>
      </c>
    </row>
    <row r="680" spans="2:6" ht="20.25" customHeight="1">
      <c r="B680" s="189" t="s">
        <v>215</v>
      </c>
      <c r="C680" s="182">
        <v>0</v>
      </c>
      <c r="D680" s="190"/>
      <c r="E680" s="182"/>
      <c r="F680" s="14">
        <f t="shared" si="25"/>
        <v>0</v>
      </c>
    </row>
    <row r="681" spans="2:6" ht="20.25" customHeight="1">
      <c r="B681" s="189" t="s">
        <v>187</v>
      </c>
      <c r="C681" s="182">
        <v>164.5</v>
      </c>
      <c r="D681" s="14"/>
      <c r="E681" s="182"/>
      <c r="F681" s="14">
        <f t="shared" si="25"/>
        <v>164.5</v>
      </c>
    </row>
    <row r="682" spans="2:6" ht="20.25" customHeight="1">
      <c r="B682" s="189" t="s">
        <v>187</v>
      </c>
      <c r="C682" s="182"/>
      <c r="D682" s="14"/>
      <c r="E682" s="182"/>
      <c r="F682" s="14">
        <f t="shared" si="25"/>
        <v>0</v>
      </c>
    </row>
    <row r="683" spans="2:6" ht="20.25" customHeight="1">
      <c r="B683" s="189" t="s">
        <v>218</v>
      </c>
      <c r="C683" s="182"/>
      <c r="D683" s="14"/>
      <c r="E683" s="182"/>
      <c r="F683" s="14">
        <f t="shared" si="25"/>
        <v>0</v>
      </c>
    </row>
    <row r="684" spans="2:6" ht="20.25" customHeight="1">
      <c r="B684" s="189" t="s">
        <v>219</v>
      </c>
      <c r="C684" s="182"/>
      <c r="D684" s="14"/>
      <c r="E684" s="182"/>
      <c r="F684" s="14">
        <f t="shared" si="25"/>
        <v>0</v>
      </c>
    </row>
    <row r="685" spans="2:6" ht="20.25" customHeight="1">
      <c r="B685" s="189" t="s">
        <v>220</v>
      </c>
      <c r="C685" s="182"/>
      <c r="D685" s="14"/>
      <c r="E685" s="182"/>
      <c r="F685" s="14">
        <f t="shared" si="25"/>
        <v>0</v>
      </c>
    </row>
    <row r="686" spans="2:6" ht="20.25" customHeight="1">
      <c r="B686" s="189" t="s">
        <v>221</v>
      </c>
      <c r="C686" s="182"/>
      <c r="D686" s="14"/>
      <c r="E686" s="182"/>
      <c r="F686" s="14">
        <f t="shared" si="25"/>
        <v>0</v>
      </c>
    </row>
    <row r="687" spans="2:6" ht="20.25" customHeight="1" thickBot="1">
      <c r="B687" s="185" t="s">
        <v>46</v>
      </c>
      <c r="C687" s="15">
        <f>SUM(C676:C686)</f>
        <v>2664.5</v>
      </c>
      <c r="D687" s="15">
        <f>SUM(D681:D685)</f>
        <v>0</v>
      </c>
      <c r="E687" s="186">
        <f>SUM(E676:E686)</f>
        <v>0</v>
      </c>
      <c r="F687" s="178">
        <f>SUM(F676:F686)</f>
        <v>2664.5</v>
      </c>
    </row>
    <row r="688" spans="2:6" ht="20.25" customHeight="1" thickTop="1">
      <c r="B688" s="145"/>
      <c r="D688" s="182"/>
      <c r="E688" s="182"/>
      <c r="F688" s="194"/>
    </row>
    <row r="693" spans="2:6" ht="20.25" customHeight="1">
      <c r="B693" s="8" t="s">
        <v>79</v>
      </c>
      <c r="C693" s="344" t="s">
        <v>475</v>
      </c>
      <c r="D693" s="344"/>
      <c r="E693" s="193"/>
      <c r="F693" s="194"/>
    </row>
    <row r="694" spans="2:6" ht="20.25" customHeight="1">
      <c r="B694" s="345" t="s">
        <v>78</v>
      </c>
      <c r="C694" s="345"/>
      <c r="D694" s="9" t="s">
        <v>113</v>
      </c>
      <c r="E694" s="17" t="s">
        <v>109</v>
      </c>
      <c r="F694" s="178" t="s">
        <v>114</v>
      </c>
    </row>
    <row r="695" spans="2:6" ht="20.25" customHeight="1">
      <c r="B695" s="195" t="s">
        <v>19</v>
      </c>
      <c r="C695" s="196"/>
      <c r="D695" s="188">
        <v>41619.21</v>
      </c>
      <c r="E695" s="12">
        <v>722.1</v>
      </c>
      <c r="F695" s="204">
        <f>E695+D695</f>
        <v>42341.31</v>
      </c>
    </row>
    <row r="696" spans="2:6" ht="20.25" customHeight="1">
      <c r="B696" s="197" t="s">
        <v>177</v>
      </c>
      <c r="C696" s="198"/>
      <c r="D696" s="188">
        <v>2000</v>
      </c>
      <c r="E696" s="14"/>
      <c r="F696" s="204">
        <f>E696+D696</f>
        <v>2000</v>
      </c>
    </row>
    <row r="697" spans="2:6" ht="20.25" customHeight="1">
      <c r="B697" s="197" t="s">
        <v>172</v>
      </c>
      <c r="C697" s="198"/>
      <c r="D697" s="188">
        <v>27571</v>
      </c>
      <c r="E697" s="14"/>
      <c r="F697" s="204">
        <f aca="true" t="shared" si="26" ref="F697:F721">E697+D697</f>
        <v>27571</v>
      </c>
    </row>
    <row r="698" spans="2:6" ht="20.25" customHeight="1">
      <c r="B698" s="197" t="s">
        <v>23</v>
      </c>
      <c r="C698" s="198"/>
      <c r="D698" s="188">
        <v>7016</v>
      </c>
      <c r="E698" s="14"/>
      <c r="F698" s="204">
        <f t="shared" si="26"/>
        <v>7016</v>
      </c>
    </row>
    <row r="699" spans="2:6" ht="20.25" customHeight="1">
      <c r="B699" s="197" t="s">
        <v>169</v>
      </c>
      <c r="C699" s="198"/>
      <c r="D699" s="188">
        <v>200</v>
      </c>
      <c r="E699" s="14"/>
      <c r="F699" s="204">
        <f t="shared" si="26"/>
        <v>200</v>
      </c>
    </row>
    <row r="700" spans="2:6" ht="20.25" customHeight="1">
      <c r="B700" s="197" t="s">
        <v>188</v>
      </c>
      <c r="C700" s="198"/>
      <c r="D700" s="188">
        <v>6900</v>
      </c>
      <c r="E700" s="14"/>
      <c r="F700" s="204">
        <f t="shared" si="26"/>
        <v>6900</v>
      </c>
    </row>
    <row r="701" spans="2:6" ht="20.25" customHeight="1">
      <c r="B701" s="197" t="s">
        <v>227</v>
      </c>
      <c r="C701" s="198"/>
      <c r="D701" s="188">
        <v>834.2</v>
      </c>
      <c r="E701" s="14"/>
      <c r="F701" s="204">
        <f t="shared" si="26"/>
        <v>834.2</v>
      </c>
    </row>
    <row r="702" spans="2:6" ht="20.25" customHeight="1">
      <c r="B702" s="236" t="s">
        <v>198</v>
      </c>
      <c r="C702" s="198"/>
      <c r="D702" s="188">
        <v>500</v>
      </c>
      <c r="E702" s="14"/>
      <c r="F702" s="204">
        <f t="shared" si="26"/>
        <v>500</v>
      </c>
    </row>
    <row r="703" spans="2:6" ht="20.25" customHeight="1">
      <c r="B703" s="197" t="s">
        <v>27</v>
      </c>
      <c r="C703" s="198"/>
      <c r="D703" s="188">
        <v>5200</v>
      </c>
      <c r="E703" s="14"/>
      <c r="F703" s="204">
        <f t="shared" si="26"/>
        <v>5200</v>
      </c>
    </row>
    <row r="704" spans="2:6" ht="20.25" customHeight="1">
      <c r="B704" s="197" t="s">
        <v>43</v>
      </c>
      <c r="C704" s="198"/>
      <c r="D704" s="188">
        <v>8269.4</v>
      </c>
      <c r="E704" s="14"/>
      <c r="F704" s="204">
        <f t="shared" si="26"/>
        <v>8269.4</v>
      </c>
    </row>
    <row r="705" spans="2:6" ht="20.25" customHeight="1">
      <c r="B705" s="197" t="s">
        <v>174</v>
      </c>
      <c r="C705" s="198"/>
      <c r="D705" s="188">
        <v>23672.04</v>
      </c>
      <c r="E705" s="14"/>
      <c r="F705" s="204">
        <f t="shared" si="26"/>
        <v>23672.04</v>
      </c>
    </row>
    <row r="706" spans="2:6" ht="20.25" customHeight="1">
      <c r="B706" s="197" t="s">
        <v>409</v>
      </c>
      <c r="C706" s="198"/>
      <c r="D706" s="188">
        <v>23655.39</v>
      </c>
      <c r="E706" s="14">
        <v>10938.47</v>
      </c>
      <c r="F706" s="204">
        <f t="shared" si="26"/>
        <v>34593.86</v>
      </c>
    </row>
    <row r="707" spans="2:6" ht="20.25" customHeight="1">
      <c r="B707" s="197" t="s">
        <v>171</v>
      </c>
      <c r="C707" s="198"/>
      <c r="D707" s="188">
        <v>5941735.23</v>
      </c>
      <c r="E707" s="14">
        <v>791746.09</v>
      </c>
      <c r="F707" s="204">
        <f t="shared" si="26"/>
        <v>6733481.32</v>
      </c>
    </row>
    <row r="708" spans="2:6" ht="20.25" customHeight="1">
      <c r="B708" s="197" t="s">
        <v>10</v>
      </c>
      <c r="C708" s="198"/>
      <c r="D708" s="188">
        <v>200984</v>
      </c>
      <c r="E708" s="14">
        <v>113030</v>
      </c>
      <c r="F708" s="204">
        <f t="shared" si="26"/>
        <v>314014</v>
      </c>
    </row>
    <row r="709" spans="2:6" ht="20.25" customHeight="1">
      <c r="B709" s="197" t="s">
        <v>176</v>
      </c>
      <c r="C709" s="198"/>
      <c r="D709" s="188">
        <v>207999.09</v>
      </c>
      <c r="E709" s="14">
        <v>40683.36</v>
      </c>
      <c r="F709" s="204">
        <f t="shared" si="26"/>
        <v>248682.45</v>
      </c>
    </row>
    <row r="710" spans="2:6" ht="20.25" customHeight="1">
      <c r="B710" s="197" t="s">
        <v>9</v>
      </c>
      <c r="C710" s="198"/>
      <c r="D710" s="188">
        <v>992904.74</v>
      </c>
      <c r="E710" s="14">
        <v>156024.29</v>
      </c>
      <c r="F710" s="204">
        <f t="shared" si="26"/>
        <v>1148929.03</v>
      </c>
    </row>
    <row r="711" spans="2:6" ht="20.25" customHeight="1">
      <c r="B711" s="197" t="s">
        <v>24</v>
      </c>
      <c r="C711" s="198"/>
      <c r="D711" s="188">
        <v>47513.57</v>
      </c>
      <c r="E711" s="14">
        <v>5078.93</v>
      </c>
      <c r="F711" s="204">
        <f t="shared" si="26"/>
        <v>52592.5</v>
      </c>
    </row>
    <row r="712" spans="2:6" ht="20.25" customHeight="1">
      <c r="B712" s="197" t="s">
        <v>20</v>
      </c>
      <c r="C712" s="198"/>
      <c r="D712" s="188">
        <v>487403.05</v>
      </c>
      <c r="E712" s="14">
        <v>55289.99</v>
      </c>
      <c r="F712" s="204">
        <f t="shared" si="26"/>
        <v>542693.04</v>
      </c>
    </row>
    <row r="713" spans="2:6" ht="20.25" customHeight="1">
      <c r="B713" s="197" t="s">
        <v>21</v>
      </c>
      <c r="C713" s="198"/>
      <c r="D713" s="188">
        <v>1161674.5</v>
      </c>
      <c r="E713" s="14">
        <v>148928.92</v>
      </c>
      <c r="F713" s="204">
        <f t="shared" si="26"/>
        <v>1310603.42</v>
      </c>
    </row>
    <row r="714" spans="2:6" ht="20.25" customHeight="1">
      <c r="B714" s="197" t="s">
        <v>22</v>
      </c>
      <c r="C714" s="198"/>
      <c r="D714" s="188">
        <v>16519.08</v>
      </c>
      <c r="E714" s="14"/>
      <c r="F714" s="204">
        <f t="shared" si="26"/>
        <v>16519.08</v>
      </c>
    </row>
    <row r="715" spans="2:6" ht="20.25" customHeight="1">
      <c r="B715" s="197" t="s">
        <v>28</v>
      </c>
      <c r="C715" s="198"/>
      <c r="D715" s="188">
        <v>2663261</v>
      </c>
      <c r="E715" s="14"/>
      <c r="F715" s="204">
        <f t="shared" si="26"/>
        <v>2663261</v>
      </c>
    </row>
    <row r="716" spans="2:6" ht="20.25" customHeight="1">
      <c r="B716" s="197" t="s">
        <v>393</v>
      </c>
      <c r="C716" s="198"/>
      <c r="D716" s="188">
        <v>3197400</v>
      </c>
      <c r="E716" s="14"/>
      <c r="F716" s="204">
        <f t="shared" si="26"/>
        <v>3197400</v>
      </c>
    </row>
    <row r="717" spans="2:6" ht="20.25" customHeight="1">
      <c r="B717" s="197" t="s">
        <v>394</v>
      </c>
      <c r="C717" s="198"/>
      <c r="D717" s="188">
        <v>525600</v>
      </c>
      <c r="E717" s="14"/>
      <c r="F717" s="204">
        <f t="shared" si="26"/>
        <v>525600</v>
      </c>
    </row>
    <row r="718" spans="2:6" ht="20.25" customHeight="1">
      <c r="B718" s="197" t="s">
        <v>395</v>
      </c>
      <c r="C718" s="198"/>
      <c r="D718" s="188">
        <v>18000</v>
      </c>
      <c r="E718" s="14"/>
      <c r="F718" s="204">
        <f t="shared" si="26"/>
        <v>18000</v>
      </c>
    </row>
    <row r="719" spans="2:6" ht="20.25" customHeight="1">
      <c r="B719" s="197" t="s">
        <v>396</v>
      </c>
      <c r="C719" s="198"/>
      <c r="D719" s="188">
        <v>327540</v>
      </c>
      <c r="E719" s="14">
        <v>114000</v>
      </c>
      <c r="F719" s="204">
        <f t="shared" si="26"/>
        <v>441540</v>
      </c>
    </row>
    <row r="720" spans="2:6" ht="20.25" customHeight="1">
      <c r="B720" s="197" t="s">
        <v>402</v>
      </c>
      <c r="C720" s="198"/>
      <c r="D720" s="188">
        <v>100300</v>
      </c>
      <c r="E720" s="14"/>
      <c r="F720" s="204">
        <f t="shared" si="26"/>
        <v>100300</v>
      </c>
    </row>
    <row r="721" spans="2:6" ht="20.25" customHeight="1">
      <c r="B721" s="197" t="s">
        <v>397</v>
      </c>
      <c r="C721" s="198"/>
      <c r="D721" s="188">
        <v>84792</v>
      </c>
      <c r="E721" s="14"/>
      <c r="F721" s="204">
        <f t="shared" si="26"/>
        <v>84792</v>
      </c>
    </row>
    <row r="722" spans="2:6" ht="20.25" customHeight="1">
      <c r="B722" s="197" t="s">
        <v>398</v>
      </c>
      <c r="C722" s="198"/>
      <c r="D722" s="188">
        <v>218300</v>
      </c>
      <c r="E722" s="14"/>
      <c r="F722" s="204">
        <f>E722+D722</f>
        <v>218300</v>
      </c>
    </row>
    <row r="723" spans="2:6" ht="20.25" customHeight="1">
      <c r="B723" s="197" t="s">
        <v>399</v>
      </c>
      <c r="C723" s="198"/>
      <c r="D723" s="188">
        <v>358807</v>
      </c>
      <c r="E723" s="14"/>
      <c r="F723" s="204">
        <f>E723+D723</f>
        <v>358807</v>
      </c>
    </row>
    <row r="724" spans="2:6" ht="20.25" customHeight="1">
      <c r="B724" s="197" t="s">
        <v>400</v>
      </c>
      <c r="C724" s="198"/>
      <c r="D724" s="188">
        <v>749000</v>
      </c>
      <c r="E724" s="14"/>
      <c r="F724" s="204">
        <f>E724+D724</f>
        <v>749000</v>
      </c>
    </row>
    <row r="725" spans="2:6" ht="20.25" customHeight="1">
      <c r="B725" s="197"/>
      <c r="C725" s="198"/>
      <c r="D725" s="188"/>
      <c r="E725" s="14"/>
      <c r="F725" s="204"/>
    </row>
    <row r="726" spans="2:6" ht="20.25" customHeight="1" thickBot="1">
      <c r="B726" s="199" t="s">
        <v>46</v>
      </c>
      <c r="C726" s="200"/>
      <c r="D726" s="16">
        <f>SUM(D695:D724)</f>
        <v>17447170.5</v>
      </c>
      <c r="E726" s="201">
        <f>SUM(E695:E724)</f>
        <v>1436442.1499999997</v>
      </c>
      <c r="F726" s="202">
        <f>D726+E726</f>
        <v>18883612.65</v>
      </c>
    </row>
    <row r="727" ht="20.25" customHeight="1" thickTop="1"/>
    <row r="734" spans="2:6" ht="20.25" customHeight="1">
      <c r="B734" s="146" t="s">
        <v>476</v>
      </c>
      <c r="C734" s="344" t="s">
        <v>475</v>
      </c>
      <c r="D734" s="344"/>
      <c r="E734" s="176"/>
      <c r="F734" s="177"/>
    </row>
    <row r="735" spans="2:6" ht="20.25" customHeight="1">
      <c r="B735" s="9" t="s">
        <v>78</v>
      </c>
      <c r="C735" s="178" t="s">
        <v>113</v>
      </c>
      <c r="D735" s="9" t="s">
        <v>109</v>
      </c>
      <c r="E735" s="9" t="s">
        <v>111</v>
      </c>
      <c r="F735" s="178" t="s">
        <v>114</v>
      </c>
    </row>
    <row r="736" spans="2:6" ht="20.25" customHeight="1">
      <c r="B736" s="189" t="s">
        <v>477</v>
      </c>
      <c r="C736" s="182">
        <v>80000</v>
      </c>
      <c r="D736" s="190"/>
      <c r="E736" s="182"/>
      <c r="F736" s="14">
        <f>C736-E736+D736</f>
        <v>80000</v>
      </c>
    </row>
    <row r="737" spans="2:6" ht="20.25" customHeight="1">
      <c r="B737" s="189" t="s">
        <v>478</v>
      </c>
      <c r="C737" s="182">
        <v>10000</v>
      </c>
      <c r="D737" s="190"/>
      <c r="E737" s="182"/>
      <c r="F737" s="14">
        <f>C737-E737</f>
        <v>10000</v>
      </c>
    </row>
    <row r="738" spans="2:6" ht="20.25" customHeight="1">
      <c r="B738" s="189" t="s">
        <v>479</v>
      </c>
      <c r="C738" s="182">
        <v>10000</v>
      </c>
      <c r="D738" s="190"/>
      <c r="E738" s="182"/>
      <c r="F738" s="14">
        <f>C738-E738</f>
        <v>10000</v>
      </c>
    </row>
    <row r="739" spans="2:6" ht="20.25" customHeight="1">
      <c r="B739" s="189" t="s">
        <v>480</v>
      </c>
      <c r="C739" s="182">
        <v>60000</v>
      </c>
      <c r="D739" s="190"/>
      <c r="E739" s="182"/>
      <c r="F739" s="14">
        <f>C739-E739</f>
        <v>60000</v>
      </c>
    </row>
    <row r="740" spans="2:6" ht="20.25" customHeight="1">
      <c r="B740" s="189" t="s">
        <v>481</v>
      </c>
      <c r="C740" s="182"/>
      <c r="D740" s="13"/>
      <c r="E740" s="14">
        <v>100000</v>
      </c>
      <c r="F740" s="14">
        <f>E740</f>
        <v>100000</v>
      </c>
    </row>
    <row r="741" spans="2:6" ht="20.25" customHeight="1">
      <c r="B741" s="189" t="s">
        <v>482</v>
      </c>
      <c r="C741" s="182"/>
      <c r="D741" s="13"/>
      <c r="E741" s="14">
        <v>100000</v>
      </c>
      <c r="F741" s="14">
        <f>E741</f>
        <v>100000</v>
      </c>
    </row>
    <row r="742" spans="2:6" ht="20.25" customHeight="1">
      <c r="B742" s="189" t="s">
        <v>484</v>
      </c>
      <c r="C742" s="182"/>
      <c r="D742" s="13"/>
      <c r="E742" s="14">
        <v>100000</v>
      </c>
      <c r="F742" s="14">
        <f>E742</f>
        <v>100000</v>
      </c>
    </row>
    <row r="743" spans="2:6" ht="20.25" customHeight="1">
      <c r="B743" s="189" t="s">
        <v>483</v>
      </c>
      <c r="C743" s="182">
        <v>100000</v>
      </c>
      <c r="D743" s="13"/>
      <c r="E743" s="14"/>
      <c r="F743" s="14">
        <f>C743</f>
        <v>100000</v>
      </c>
    </row>
    <row r="744" spans="2:6" ht="20.25" customHeight="1">
      <c r="B744" s="189" t="s">
        <v>485</v>
      </c>
      <c r="C744" s="182"/>
      <c r="D744" s="13"/>
      <c r="E744" s="14">
        <v>100000</v>
      </c>
      <c r="F744" s="14">
        <f>E744</f>
        <v>100000</v>
      </c>
    </row>
    <row r="745" spans="2:6" ht="20.25" customHeight="1">
      <c r="B745" s="189" t="s">
        <v>486</v>
      </c>
      <c r="C745" s="182"/>
      <c r="D745" s="13"/>
      <c r="E745" s="14">
        <v>100000</v>
      </c>
      <c r="F745" s="14">
        <f>E745</f>
        <v>100000</v>
      </c>
    </row>
    <row r="746" spans="2:6" ht="20.25" customHeight="1">
      <c r="B746" s="189" t="s">
        <v>487</v>
      </c>
      <c r="C746" s="182">
        <v>100000</v>
      </c>
      <c r="D746" s="14"/>
      <c r="E746" s="182"/>
      <c r="F746" s="14">
        <f>D746-E746+C746</f>
        <v>100000</v>
      </c>
    </row>
    <row r="747" spans="2:6" ht="20.25" customHeight="1">
      <c r="B747" s="189"/>
      <c r="C747" s="182"/>
      <c r="D747" s="14"/>
      <c r="E747" s="182"/>
      <c r="F747" s="14">
        <f>C747-E747</f>
        <v>0</v>
      </c>
    </row>
    <row r="748" spans="2:6" ht="20.25" customHeight="1">
      <c r="B748" s="189"/>
      <c r="C748" s="182"/>
      <c r="D748" s="14"/>
      <c r="E748" s="182"/>
      <c r="F748" s="14">
        <f>C748-E748</f>
        <v>0</v>
      </c>
    </row>
    <row r="749" spans="2:6" ht="20.25" customHeight="1" thickBot="1">
      <c r="B749" s="185" t="s">
        <v>46</v>
      </c>
      <c r="C749" s="15">
        <f>SUM(C736:C748)</f>
        <v>360000</v>
      </c>
      <c r="D749" s="15">
        <f>SUM(D741:D747)</f>
        <v>0</v>
      </c>
      <c r="E749" s="186">
        <f>SUM(E736:E748)</f>
        <v>500000</v>
      </c>
      <c r="F749" s="178">
        <f>SUM(F736:F748)</f>
        <v>860000</v>
      </c>
    </row>
    <row r="750" ht="20.25" customHeight="1" thickTop="1"/>
    <row r="753" spans="2:6" ht="20.25" customHeight="1">
      <c r="B753" s="203"/>
      <c r="C753" s="290"/>
      <c r="D753" s="290"/>
      <c r="E753" s="291"/>
      <c r="F753" s="290"/>
    </row>
    <row r="754" spans="2:6" ht="20.25" customHeight="1">
      <c r="B754" s="203"/>
      <c r="C754" s="290"/>
      <c r="D754" s="290"/>
      <c r="E754" s="291"/>
      <c r="F754" s="290"/>
    </row>
    <row r="755" spans="2:6" ht="20.25" customHeight="1">
      <c r="B755" s="203"/>
      <c r="C755" s="290"/>
      <c r="D755" s="290"/>
      <c r="E755" s="291"/>
      <c r="F755" s="290"/>
    </row>
    <row r="756" spans="2:6" ht="20.25" customHeight="1">
      <c r="B756" s="203"/>
      <c r="C756" s="290"/>
      <c r="D756" s="290"/>
      <c r="E756" s="291"/>
      <c r="F756" s="290"/>
    </row>
    <row r="757" spans="2:6" ht="20.25" customHeight="1">
      <c r="B757" s="203"/>
      <c r="C757" s="290"/>
      <c r="D757" s="290"/>
      <c r="E757" s="291"/>
      <c r="F757" s="290"/>
    </row>
    <row r="758" spans="2:6" ht="20.25" customHeight="1">
      <c r="B758" s="203"/>
      <c r="C758" s="290"/>
      <c r="D758" s="290"/>
      <c r="E758" s="291"/>
      <c r="F758" s="290"/>
    </row>
    <row r="759" spans="2:6" ht="20.25" customHeight="1">
      <c r="B759" s="203"/>
      <c r="C759" s="290"/>
      <c r="D759" s="290"/>
      <c r="E759" s="291"/>
      <c r="F759" s="290"/>
    </row>
    <row r="760" spans="2:6" ht="20.25" customHeight="1">
      <c r="B760" s="203"/>
      <c r="C760" s="290"/>
      <c r="D760" s="290"/>
      <c r="E760" s="291"/>
      <c r="F760" s="290"/>
    </row>
    <row r="761" spans="2:6" ht="20.25" customHeight="1">
      <c r="B761" s="203"/>
      <c r="C761" s="290"/>
      <c r="D761" s="290"/>
      <c r="E761" s="291"/>
      <c r="F761" s="290"/>
    </row>
    <row r="762" spans="2:6" ht="20.25" customHeight="1">
      <c r="B762" s="203"/>
      <c r="C762" s="290"/>
      <c r="D762" s="290"/>
      <c r="E762" s="291"/>
      <c r="F762" s="290"/>
    </row>
    <row r="763" spans="2:6" ht="20.25" customHeight="1">
      <c r="B763" s="203"/>
      <c r="C763" s="290"/>
      <c r="D763" s="290"/>
      <c r="E763" s="291"/>
      <c r="F763" s="290"/>
    </row>
    <row r="764" spans="2:6" ht="20.25" customHeight="1">
      <c r="B764" s="203"/>
      <c r="C764" s="290"/>
      <c r="D764" s="290"/>
      <c r="E764" s="291"/>
      <c r="F764" s="290"/>
    </row>
    <row r="765" spans="2:6" ht="20.25" customHeight="1">
      <c r="B765" s="203"/>
      <c r="C765" s="290"/>
      <c r="D765" s="290"/>
      <c r="E765" s="291"/>
      <c r="F765" s="290"/>
    </row>
    <row r="766" spans="2:6" ht="20.25" customHeight="1">
      <c r="B766" s="203"/>
      <c r="C766" s="290"/>
      <c r="D766" s="290"/>
      <c r="E766" s="291"/>
      <c r="F766" s="290"/>
    </row>
    <row r="767" spans="2:6" ht="20.25" customHeight="1">
      <c r="B767" s="203"/>
      <c r="C767" s="290"/>
      <c r="D767" s="290"/>
      <c r="E767" s="291"/>
      <c r="F767" s="290"/>
    </row>
    <row r="768" spans="2:6" ht="20.25" customHeight="1">
      <c r="B768" s="203"/>
      <c r="C768" s="290"/>
      <c r="D768" s="290"/>
      <c r="E768" s="291"/>
      <c r="F768" s="290"/>
    </row>
    <row r="769" spans="2:6" ht="20.25" customHeight="1">
      <c r="B769" s="203"/>
      <c r="C769" s="290"/>
      <c r="D769" s="290"/>
      <c r="E769" s="291"/>
      <c r="F769" s="290"/>
    </row>
    <row r="770" spans="2:6" ht="20.25" customHeight="1">
      <c r="B770" s="203"/>
      <c r="C770" s="290"/>
      <c r="D770" s="290"/>
      <c r="E770" s="291"/>
      <c r="F770" s="290"/>
    </row>
    <row r="771" spans="2:6" ht="20.25" customHeight="1">
      <c r="B771" s="343" t="s">
        <v>112</v>
      </c>
      <c r="C771" s="343"/>
      <c r="D771" s="343"/>
      <c r="E771" s="343"/>
      <c r="F771" s="343"/>
    </row>
    <row r="772" spans="2:6" ht="20.25" customHeight="1">
      <c r="B772" s="8"/>
      <c r="C772" s="8"/>
      <c r="D772" s="8"/>
      <c r="E772" s="8"/>
      <c r="F772" s="8"/>
    </row>
    <row r="773" spans="2:6" ht="20.25" customHeight="1">
      <c r="B773" s="146" t="s">
        <v>123</v>
      </c>
      <c r="C773" s="344" t="s">
        <v>493</v>
      </c>
      <c r="D773" s="344"/>
      <c r="E773" s="176"/>
      <c r="F773" s="177"/>
    </row>
    <row r="774" spans="2:6" ht="20.25" customHeight="1">
      <c r="B774" s="9" t="s">
        <v>78</v>
      </c>
      <c r="C774" s="178" t="s">
        <v>113</v>
      </c>
      <c r="D774" s="9" t="s">
        <v>109</v>
      </c>
      <c r="E774" s="9" t="s">
        <v>111</v>
      </c>
      <c r="F774" s="179" t="s">
        <v>114</v>
      </c>
    </row>
    <row r="775" spans="2:6" ht="20.25" customHeight="1">
      <c r="B775" s="11" t="s">
        <v>110</v>
      </c>
      <c r="C775" s="180">
        <v>377720</v>
      </c>
      <c r="D775" s="12"/>
      <c r="E775" s="181">
        <v>4950</v>
      </c>
      <c r="F775" s="12">
        <f>C775+D775-E775</f>
        <v>372770</v>
      </c>
    </row>
    <row r="776" spans="2:6" ht="20.25" customHeight="1">
      <c r="B776" s="13" t="s">
        <v>77</v>
      </c>
      <c r="C776" s="182">
        <v>1009252.65</v>
      </c>
      <c r="D776" s="14">
        <v>0</v>
      </c>
      <c r="E776" s="183">
        <v>0</v>
      </c>
      <c r="F776" s="14">
        <f>C776+D776-E776</f>
        <v>1009252.65</v>
      </c>
    </row>
    <row r="777" spans="2:6" ht="20.25" customHeight="1">
      <c r="B777" s="13" t="s">
        <v>15</v>
      </c>
      <c r="C777" s="14">
        <v>2471.69</v>
      </c>
      <c r="D777" s="188">
        <v>4919.6</v>
      </c>
      <c r="E777" s="14">
        <v>2471.69</v>
      </c>
      <c r="F777" s="14">
        <f>C777+D777-E777</f>
        <v>4919.6</v>
      </c>
    </row>
    <row r="778" spans="2:6" ht="20.25" customHeight="1">
      <c r="B778" s="13" t="s">
        <v>16</v>
      </c>
      <c r="C778" s="182">
        <v>5647.41</v>
      </c>
      <c r="D778" s="14"/>
      <c r="E778" s="183"/>
      <c r="F778" s="14">
        <f aca="true" t="shared" si="27" ref="F778:F791">C778+D778-E778</f>
        <v>5647.41</v>
      </c>
    </row>
    <row r="779" spans="2:6" ht="20.25" customHeight="1">
      <c r="B779" s="13" t="s">
        <v>17</v>
      </c>
      <c r="C779" s="182">
        <v>2704.94</v>
      </c>
      <c r="D779" s="14">
        <v>80.63</v>
      </c>
      <c r="E779" s="183"/>
      <c r="F779" s="14">
        <f t="shared" si="27"/>
        <v>2785.57</v>
      </c>
    </row>
    <row r="780" spans="2:6" ht="20.25" customHeight="1">
      <c r="B780" s="13" t="s">
        <v>141</v>
      </c>
      <c r="C780" s="182">
        <v>225</v>
      </c>
      <c r="D780" s="14"/>
      <c r="E780" s="183"/>
      <c r="F780" s="14">
        <f t="shared" si="27"/>
        <v>225</v>
      </c>
    </row>
    <row r="781" spans="2:6" ht="20.25" customHeight="1">
      <c r="B781" s="13" t="s">
        <v>173</v>
      </c>
      <c r="C781" s="182">
        <v>114.76</v>
      </c>
      <c r="D781" s="14"/>
      <c r="E781" s="183"/>
      <c r="F781" s="14">
        <f t="shared" si="27"/>
        <v>114.76</v>
      </c>
    </row>
    <row r="782" spans="2:6" ht="20.25" customHeight="1">
      <c r="B782" s="72" t="s">
        <v>204</v>
      </c>
      <c r="C782" s="14">
        <v>13000</v>
      </c>
      <c r="D782" s="14"/>
      <c r="E782" s="183"/>
      <c r="F782" s="14">
        <f t="shared" si="27"/>
        <v>13000</v>
      </c>
    </row>
    <row r="783" spans="2:6" ht="20.25" customHeight="1">
      <c r="B783" s="13" t="s">
        <v>205</v>
      </c>
      <c r="C783" s="182">
        <v>150500</v>
      </c>
      <c r="D783" s="14"/>
      <c r="E783" s="183"/>
      <c r="F783" s="14">
        <f t="shared" si="27"/>
        <v>150500</v>
      </c>
    </row>
    <row r="784" spans="2:6" ht="20.25" customHeight="1">
      <c r="B784" s="13" t="s">
        <v>206</v>
      </c>
      <c r="C784" s="182">
        <v>14400</v>
      </c>
      <c r="D784" s="14"/>
      <c r="E784" s="183"/>
      <c r="F784" s="14">
        <f t="shared" si="27"/>
        <v>14400</v>
      </c>
    </row>
    <row r="785" spans="2:6" ht="20.25" customHeight="1">
      <c r="B785" s="13" t="s">
        <v>207</v>
      </c>
      <c r="C785" s="182">
        <v>743.25</v>
      </c>
      <c r="D785" s="14"/>
      <c r="E785" s="183"/>
      <c r="F785" s="14">
        <f t="shared" si="27"/>
        <v>743.25</v>
      </c>
    </row>
    <row r="786" spans="2:6" ht="20.25" customHeight="1">
      <c r="B786" s="155" t="s">
        <v>426</v>
      </c>
      <c r="C786" s="14">
        <v>50000</v>
      </c>
      <c r="D786" s="14"/>
      <c r="E786" s="183">
        <v>50000</v>
      </c>
      <c r="F786" s="14">
        <f t="shared" si="27"/>
        <v>0</v>
      </c>
    </row>
    <row r="787" spans="2:6" ht="20.25" customHeight="1">
      <c r="B787" s="13" t="s">
        <v>168</v>
      </c>
      <c r="C787" s="279">
        <v>0</v>
      </c>
      <c r="D787" s="14">
        <v>7853</v>
      </c>
      <c r="E787" s="183">
        <v>7853</v>
      </c>
      <c r="F787" s="14">
        <f t="shared" si="27"/>
        <v>0</v>
      </c>
    </row>
    <row r="788" spans="2:6" ht="20.25" customHeight="1">
      <c r="B788" s="13" t="s">
        <v>223</v>
      </c>
      <c r="C788" s="184"/>
      <c r="D788" s="209">
        <v>64764</v>
      </c>
      <c r="E788" s="209">
        <v>64764</v>
      </c>
      <c r="F788" s="14">
        <f t="shared" si="27"/>
        <v>0</v>
      </c>
    </row>
    <row r="789" spans="2:6" ht="20.25" customHeight="1">
      <c r="B789" s="13" t="s">
        <v>224</v>
      </c>
      <c r="C789" s="184"/>
      <c r="D789" s="209">
        <v>36700</v>
      </c>
      <c r="E789" s="209">
        <v>36700</v>
      </c>
      <c r="F789" s="14">
        <f t="shared" si="27"/>
        <v>0</v>
      </c>
    </row>
    <row r="790" spans="2:6" ht="20.25" customHeight="1">
      <c r="B790" s="13" t="s">
        <v>225</v>
      </c>
      <c r="C790" s="184"/>
      <c r="D790" s="209">
        <v>43995</v>
      </c>
      <c r="E790" s="209">
        <v>43995</v>
      </c>
      <c r="F790" s="14">
        <f t="shared" si="27"/>
        <v>0</v>
      </c>
    </row>
    <row r="791" spans="2:6" ht="20.25" customHeight="1">
      <c r="B791" s="13" t="s">
        <v>226</v>
      </c>
      <c r="C791" s="184"/>
      <c r="D791" s="209">
        <v>28857</v>
      </c>
      <c r="E791" s="209">
        <v>28857</v>
      </c>
      <c r="F791" s="191">
        <f t="shared" si="27"/>
        <v>0</v>
      </c>
    </row>
    <row r="792" spans="2:6" ht="20.25" customHeight="1" thickBot="1">
      <c r="B792" s="208" t="s">
        <v>46</v>
      </c>
      <c r="C792" s="15">
        <f>SUM(C775:C787)</f>
        <v>1626779.6999999997</v>
      </c>
      <c r="D792" s="15">
        <f>SUM(D775:D791)</f>
        <v>187169.22999999998</v>
      </c>
      <c r="E792" s="186">
        <f>SUM(E775:E791)</f>
        <v>239590.69</v>
      </c>
      <c r="F792" s="192">
        <f>SUM(F775:F791)</f>
        <v>1574358.24</v>
      </c>
    </row>
    <row r="793" ht="20.25" customHeight="1" thickTop="1"/>
    <row r="794" spans="2:6" ht="20.25" customHeight="1">
      <c r="B794" s="146" t="s">
        <v>18</v>
      </c>
      <c r="C794" s="344" t="s">
        <v>576</v>
      </c>
      <c r="D794" s="344"/>
      <c r="E794" s="176"/>
      <c r="F794" s="177"/>
    </row>
    <row r="795" spans="2:6" ht="20.25" customHeight="1">
      <c r="B795" s="9" t="s">
        <v>78</v>
      </c>
      <c r="C795" s="178" t="s">
        <v>113</v>
      </c>
      <c r="D795" s="9" t="s">
        <v>109</v>
      </c>
      <c r="E795" s="9" t="s">
        <v>111</v>
      </c>
      <c r="F795" s="178" t="s">
        <v>114</v>
      </c>
    </row>
    <row r="796" spans="2:6" ht="20.25" customHeight="1">
      <c r="B796" s="189" t="s">
        <v>210</v>
      </c>
      <c r="C796" s="182">
        <v>1500</v>
      </c>
      <c r="D796" s="190"/>
      <c r="E796" s="182"/>
      <c r="F796" s="14">
        <f aca="true" t="shared" si="28" ref="F796:F806">C796-E796</f>
        <v>1500</v>
      </c>
    </row>
    <row r="797" spans="2:6" ht="20.25" customHeight="1">
      <c r="B797" s="189" t="s">
        <v>211</v>
      </c>
      <c r="C797" s="182">
        <v>1000</v>
      </c>
      <c r="D797" s="190"/>
      <c r="E797" s="182"/>
      <c r="F797" s="14">
        <f t="shared" si="28"/>
        <v>1000</v>
      </c>
    </row>
    <row r="798" spans="2:6" ht="20.25" customHeight="1">
      <c r="B798" s="189" t="s">
        <v>213</v>
      </c>
      <c r="C798" s="182">
        <v>0</v>
      </c>
      <c r="D798" s="190"/>
      <c r="E798" s="182"/>
      <c r="F798" s="14">
        <f t="shared" si="28"/>
        <v>0</v>
      </c>
    </row>
    <row r="799" spans="2:6" ht="20.25" customHeight="1">
      <c r="B799" s="189" t="s">
        <v>214</v>
      </c>
      <c r="C799" s="182">
        <v>0</v>
      </c>
      <c r="D799" s="190"/>
      <c r="E799" s="182"/>
      <c r="F799" s="14">
        <f t="shared" si="28"/>
        <v>0</v>
      </c>
    </row>
    <row r="800" spans="2:6" ht="20.25" customHeight="1">
      <c r="B800" s="189" t="s">
        <v>215</v>
      </c>
      <c r="C800" s="182">
        <v>0</v>
      </c>
      <c r="D800" s="190"/>
      <c r="E800" s="182"/>
      <c r="F800" s="14">
        <f t="shared" si="28"/>
        <v>0</v>
      </c>
    </row>
    <row r="801" spans="2:6" ht="20.25" customHeight="1">
      <c r="B801" s="189" t="s">
        <v>187</v>
      </c>
      <c r="C801" s="182">
        <v>164.5</v>
      </c>
      <c r="D801" s="14"/>
      <c r="E801" s="182"/>
      <c r="F801" s="14">
        <f t="shared" si="28"/>
        <v>164.5</v>
      </c>
    </row>
    <row r="802" spans="2:6" ht="20.25" customHeight="1">
      <c r="B802" s="189" t="s">
        <v>187</v>
      </c>
      <c r="C802" s="182"/>
      <c r="D802" s="14"/>
      <c r="E802" s="182"/>
      <c r="F802" s="14">
        <f t="shared" si="28"/>
        <v>0</v>
      </c>
    </row>
    <row r="803" spans="2:6" ht="20.25" customHeight="1">
      <c r="B803" s="189" t="s">
        <v>218</v>
      </c>
      <c r="C803" s="182"/>
      <c r="D803" s="14"/>
      <c r="E803" s="182"/>
      <c r="F803" s="14">
        <f t="shared" si="28"/>
        <v>0</v>
      </c>
    </row>
    <row r="804" spans="2:6" ht="20.25" customHeight="1">
      <c r="B804" s="189" t="s">
        <v>219</v>
      </c>
      <c r="C804" s="182"/>
      <c r="D804" s="14"/>
      <c r="E804" s="182"/>
      <c r="F804" s="14">
        <f t="shared" si="28"/>
        <v>0</v>
      </c>
    </row>
    <row r="805" spans="2:6" ht="20.25" customHeight="1">
      <c r="B805" s="189" t="s">
        <v>220</v>
      </c>
      <c r="C805" s="182"/>
      <c r="D805" s="14"/>
      <c r="E805" s="182"/>
      <c r="F805" s="14">
        <f t="shared" si="28"/>
        <v>0</v>
      </c>
    </row>
    <row r="806" spans="2:6" ht="20.25" customHeight="1">
      <c r="B806" s="189" t="s">
        <v>221</v>
      </c>
      <c r="C806" s="182"/>
      <c r="D806" s="14"/>
      <c r="E806" s="182"/>
      <c r="F806" s="14">
        <f t="shared" si="28"/>
        <v>0</v>
      </c>
    </row>
    <row r="807" spans="2:6" ht="20.25" customHeight="1" thickBot="1">
      <c r="B807" s="185" t="s">
        <v>46</v>
      </c>
      <c r="C807" s="15">
        <f>SUM(C796:C806)</f>
        <v>2664.5</v>
      </c>
      <c r="D807" s="15">
        <f>SUM(D801:D805)</f>
        <v>0</v>
      </c>
      <c r="E807" s="186">
        <f>SUM(E796:E806)</f>
        <v>0</v>
      </c>
      <c r="F807" s="178">
        <f>SUM(F796:F806)</f>
        <v>2664.5</v>
      </c>
    </row>
    <row r="808" spans="2:6" ht="20.25" customHeight="1" thickTop="1">
      <c r="B808" s="145"/>
      <c r="D808" s="182"/>
      <c r="E808" s="182"/>
      <c r="F808" s="194"/>
    </row>
    <row r="813" spans="2:6" ht="20.25" customHeight="1">
      <c r="B813" s="8" t="s">
        <v>79</v>
      </c>
      <c r="C813" s="344" t="s">
        <v>576</v>
      </c>
      <c r="D813" s="344"/>
      <c r="E813" s="193"/>
      <c r="F813" s="194"/>
    </row>
    <row r="814" spans="2:6" ht="20.25" customHeight="1">
      <c r="B814" s="345" t="s">
        <v>78</v>
      </c>
      <c r="C814" s="345"/>
      <c r="D814" s="9" t="s">
        <v>113</v>
      </c>
      <c r="E814" s="17" t="s">
        <v>109</v>
      </c>
      <c r="F814" s="178" t="s">
        <v>114</v>
      </c>
    </row>
    <row r="815" spans="2:6" ht="20.25" customHeight="1">
      <c r="B815" s="195" t="s">
        <v>19</v>
      </c>
      <c r="C815" s="196"/>
      <c r="D815" s="188">
        <v>42341.31</v>
      </c>
      <c r="E815" s="12">
        <v>1262.12</v>
      </c>
      <c r="F815" s="204">
        <f>E815+D815</f>
        <v>43603.43</v>
      </c>
    </row>
    <row r="816" spans="2:6" ht="20.25" customHeight="1">
      <c r="B816" s="197" t="s">
        <v>177</v>
      </c>
      <c r="C816" s="198"/>
      <c r="D816" s="188">
        <v>2000</v>
      </c>
      <c r="E816" s="14"/>
      <c r="F816" s="204">
        <f>E816+D816</f>
        <v>2000</v>
      </c>
    </row>
    <row r="817" spans="2:6" ht="20.25" customHeight="1">
      <c r="B817" s="197" t="s">
        <v>172</v>
      </c>
      <c r="C817" s="198"/>
      <c r="D817" s="188">
        <v>27571</v>
      </c>
      <c r="E817" s="14"/>
      <c r="F817" s="204">
        <f aca="true" t="shared" si="29" ref="F817:F841">E817+D817</f>
        <v>27571</v>
      </c>
    </row>
    <row r="818" spans="2:6" ht="20.25" customHeight="1">
      <c r="B818" s="197" t="s">
        <v>23</v>
      </c>
      <c r="C818" s="198"/>
      <c r="D818" s="188">
        <v>7016</v>
      </c>
      <c r="E818" s="14"/>
      <c r="F818" s="204">
        <f t="shared" si="29"/>
        <v>7016</v>
      </c>
    </row>
    <row r="819" spans="2:6" ht="20.25" customHeight="1">
      <c r="B819" s="197" t="s">
        <v>169</v>
      </c>
      <c r="C819" s="198"/>
      <c r="D819" s="188">
        <v>200</v>
      </c>
      <c r="E819" s="14">
        <v>50</v>
      </c>
      <c r="F819" s="204">
        <f t="shared" si="29"/>
        <v>250</v>
      </c>
    </row>
    <row r="820" spans="2:6" ht="20.25" customHeight="1">
      <c r="B820" s="197" t="s">
        <v>188</v>
      </c>
      <c r="C820" s="198"/>
      <c r="D820" s="188">
        <v>6900</v>
      </c>
      <c r="E820" s="14">
        <v>864</v>
      </c>
      <c r="F820" s="204">
        <f t="shared" si="29"/>
        <v>7764</v>
      </c>
    </row>
    <row r="821" spans="2:6" ht="20.25" customHeight="1">
      <c r="B821" s="197" t="s">
        <v>227</v>
      </c>
      <c r="C821" s="198"/>
      <c r="D821" s="188">
        <v>834.2</v>
      </c>
      <c r="E821" s="14">
        <v>19.4</v>
      </c>
      <c r="F821" s="204">
        <f t="shared" si="29"/>
        <v>853.6</v>
      </c>
    </row>
    <row r="822" spans="2:6" ht="20.25" customHeight="1">
      <c r="B822" s="236" t="s">
        <v>198</v>
      </c>
      <c r="C822" s="198"/>
      <c r="D822" s="188">
        <v>500</v>
      </c>
      <c r="E822" s="14"/>
      <c r="F822" s="204">
        <f t="shared" si="29"/>
        <v>500</v>
      </c>
    </row>
    <row r="823" spans="2:6" ht="20.25" customHeight="1">
      <c r="B823" s="197" t="s">
        <v>27</v>
      </c>
      <c r="C823" s="198"/>
      <c r="D823" s="188">
        <v>5200</v>
      </c>
      <c r="E823" s="14"/>
      <c r="F823" s="204">
        <f t="shared" si="29"/>
        <v>5200</v>
      </c>
    </row>
    <row r="824" spans="2:6" ht="20.25" customHeight="1">
      <c r="B824" s="197" t="s">
        <v>43</v>
      </c>
      <c r="C824" s="198"/>
      <c r="D824" s="188">
        <v>8269.4</v>
      </c>
      <c r="E824" s="14"/>
      <c r="F824" s="204">
        <f t="shared" si="29"/>
        <v>8269.4</v>
      </c>
    </row>
    <row r="825" spans="2:6" ht="20.25" customHeight="1">
      <c r="B825" s="197" t="s">
        <v>174</v>
      </c>
      <c r="C825" s="198"/>
      <c r="D825" s="188">
        <v>23672.04</v>
      </c>
      <c r="E825" s="14"/>
      <c r="F825" s="204">
        <f t="shared" si="29"/>
        <v>23672.04</v>
      </c>
    </row>
    <row r="826" spans="2:6" ht="20.25" customHeight="1">
      <c r="B826" s="197" t="s">
        <v>409</v>
      </c>
      <c r="C826" s="198"/>
      <c r="D826" s="188">
        <v>34593.86</v>
      </c>
      <c r="E826" s="14"/>
      <c r="F826" s="204">
        <f t="shared" si="29"/>
        <v>34593.86</v>
      </c>
    </row>
    <row r="827" spans="2:6" ht="20.25" customHeight="1">
      <c r="B827" s="197" t="s">
        <v>171</v>
      </c>
      <c r="C827" s="198"/>
      <c r="D827" s="188">
        <v>6733481.32</v>
      </c>
      <c r="E827" s="14"/>
      <c r="F827" s="204">
        <f t="shared" si="29"/>
        <v>6733481.32</v>
      </c>
    </row>
    <row r="828" spans="2:6" ht="20.25" customHeight="1">
      <c r="B828" s="197" t="s">
        <v>10</v>
      </c>
      <c r="C828" s="198"/>
      <c r="D828" s="188">
        <v>314014</v>
      </c>
      <c r="E828" s="14"/>
      <c r="F828" s="204">
        <f t="shared" si="29"/>
        <v>314014</v>
      </c>
    </row>
    <row r="829" spans="2:6" ht="20.25" customHeight="1">
      <c r="B829" s="197" t="s">
        <v>176</v>
      </c>
      <c r="C829" s="198"/>
      <c r="D829" s="188">
        <v>248682.45</v>
      </c>
      <c r="E829" s="14">
        <v>72735.64</v>
      </c>
      <c r="F829" s="204">
        <f t="shared" si="29"/>
        <v>321418.09</v>
      </c>
    </row>
    <row r="830" spans="2:6" ht="20.25" customHeight="1">
      <c r="B830" s="197" t="s">
        <v>9</v>
      </c>
      <c r="C830" s="198"/>
      <c r="D830" s="188">
        <v>1148929.03</v>
      </c>
      <c r="E830" s="14">
        <v>112262.67</v>
      </c>
      <c r="F830" s="204">
        <f t="shared" si="29"/>
        <v>1261191.7</v>
      </c>
    </row>
    <row r="831" spans="2:6" ht="20.25" customHeight="1">
      <c r="B831" s="197" t="s">
        <v>24</v>
      </c>
      <c r="C831" s="198"/>
      <c r="D831" s="188">
        <v>52592.5</v>
      </c>
      <c r="E831" s="14">
        <v>7040.34</v>
      </c>
      <c r="F831" s="204">
        <f t="shared" si="29"/>
        <v>59632.84</v>
      </c>
    </row>
    <row r="832" spans="2:6" ht="20.25" customHeight="1">
      <c r="B832" s="197" t="s">
        <v>20</v>
      </c>
      <c r="C832" s="198"/>
      <c r="D832" s="188">
        <v>542693.04</v>
      </c>
      <c r="E832" s="14">
        <v>63777.14</v>
      </c>
      <c r="F832" s="204">
        <f t="shared" si="29"/>
        <v>606470.18</v>
      </c>
    </row>
    <row r="833" spans="2:6" ht="20.25" customHeight="1">
      <c r="B833" s="197" t="s">
        <v>21</v>
      </c>
      <c r="C833" s="198"/>
      <c r="D833" s="188">
        <v>1310603.42</v>
      </c>
      <c r="E833" s="14">
        <v>167352.61</v>
      </c>
      <c r="F833" s="204">
        <f t="shared" si="29"/>
        <v>1477956.0299999998</v>
      </c>
    </row>
    <row r="834" spans="2:6" ht="20.25" customHeight="1">
      <c r="B834" s="197" t="s">
        <v>22</v>
      </c>
      <c r="C834" s="198"/>
      <c r="D834" s="188">
        <v>16519.08</v>
      </c>
      <c r="E834" s="14">
        <v>6394.27</v>
      </c>
      <c r="F834" s="204">
        <f t="shared" si="29"/>
        <v>22913.350000000002</v>
      </c>
    </row>
    <row r="835" spans="2:6" ht="20.25" customHeight="1">
      <c r="B835" s="197" t="s">
        <v>28</v>
      </c>
      <c r="C835" s="198"/>
      <c r="D835" s="188">
        <v>2663261</v>
      </c>
      <c r="E835" s="14"/>
      <c r="F835" s="204">
        <f t="shared" si="29"/>
        <v>2663261</v>
      </c>
    </row>
    <row r="836" spans="2:6" ht="20.25" customHeight="1">
      <c r="B836" s="197" t="s">
        <v>393</v>
      </c>
      <c r="C836" s="198"/>
      <c r="D836" s="188">
        <v>3197400</v>
      </c>
      <c r="E836" s="14">
        <v>1065800</v>
      </c>
      <c r="F836" s="204">
        <f t="shared" si="29"/>
        <v>4263200</v>
      </c>
    </row>
    <row r="837" spans="2:6" ht="20.25" customHeight="1">
      <c r="B837" s="197" t="s">
        <v>394</v>
      </c>
      <c r="C837" s="198"/>
      <c r="D837" s="188">
        <v>525600</v>
      </c>
      <c r="E837" s="14">
        <v>175200</v>
      </c>
      <c r="F837" s="204">
        <f t="shared" si="29"/>
        <v>700800</v>
      </c>
    </row>
    <row r="838" spans="2:6" ht="20.25" customHeight="1">
      <c r="B838" s="197" t="s">
        <v>395</v>
      </c>
      <c r="C838" s="198"/>
      <c r="D838" s="188">
        <v>18000</v>
      </c>
      <c r="E838" s="14">
        <v>6000</v>
      </c>
      <c r="F838" s="204">
        <f t="shared" si="29"/>
        <v>24000</v>
      </c>
    </row>
    <row r="839" spans="2:6" ht="20.25" customHeight="1">
      <c r="B839" s="197" t="s">
        <v>396</v>
      </c>
      <c r="C839" s="198"/>
      <c r="D839" s="188">
        <v>441540</v>
      </c>
      <c r="E839" s="14">
        <v>32902</v>
      </c>
      <c r="F839" s="204">
        <f t="shared" si="29"/>
        <v>474442</v>
      </c>
    </row>
    <row r="840" spans="2:6" ht="20.25" customHeight="1">
      <c r="B840" s="197" t="s">
        <v>402</v>
      </c>
      <c r="C840" s="198"/>
      <c r="D840" s="188">
        <v>100300</v>
      </c>
      <c r="E840" s="14"/>
      <c r="F840" s="204">
        <f t="shared" si="29"/>
        <v>100300</v>
      </c>
    </row>
    <row r="841" spans="2:6" ht="20.25" customHeight="1">
      <c r="B841" s="197" t="s">
        <v>397</v>
      </c>
      <c r="C841" s="198"/>
      <c r="D841" s="188">
        <v>84792</v>
      </c>
      <c r="E841" s="14">
        <v>28264</v>
      </c>
      <c r="F841" s="204">
        <f t="shared" si="29"/>
        <v>113056</v>
      </c>
    </row>
    <row r="842" spans="2:6" ht="20.25" customHeight="1">
      <c r="B842" s="197" t="s">
        <v>398</v>
      </c>
      <c r="C842" s="198"/>
      <c r="D842" s="188">
        <v>218300</v>
      </c>
      <c r="E842" s="14">
        <v>70800</v>
      </c>
      <c r="F842" s="204">
        <f>E842+D842</f>
        <v>289100</v>
      </c>
    </row>
    <row r="843" spans="2:6" ht="20.25" customHeight="1">
      <c r="B843" s="197" t="s">
        <v>399</v>
      </c>
      <c r="C843" s="198"/>
      <c r="D843" s="188">
        <v>358807</v>
      </c>
      <c r="E843" s="14">
        <v>113059</v>
      </c>
      <c r="F843" s="204">
        <f>E843+D843</f>
        <v>471866</v>
      </c>
    </row>
    <row r="844" spans="2:6" ht="20.25" customHeight="1">
      <c r="B844" s="197" t="s">
        <v>400</v>
      </c>
      <c r="C844" s="198"/>
      <c r="D844" s="188">
        <v>749000</v>
      </c>
      <c r="E844" s="14">
        <v>236000</v>
      </c>
      <c r="F844" s="204">
        <f>E844+D844</f>
        <v>985000</v>
      </c>
    </row>
    <row r="845" spans="2:6" ht="20.25" customHeight="1">
      <c r="B845" s="197"/>
      <c r="C845" s="198"/>
      <c r="D845" s="188"/>
      <c r="E845" s="14"/>
      <c r="F845" s="204"/>
    </row>
    <row r="846" spans="2:6" ht="20.25" customHeight="1" thickBot="1">
      <c r="B846" s="199" t="s">
        <v>46</v>
      </c>
      <c r="C846" s="200"/>
      <c r="D846" s="16">
        <f>SUM(D815:D844)</f>
        <v>18883612.65</v>
      </c>
      <c r="E846" s="201">
        <f>SUM(E815:E844)</f>
        <v>2159783.19</v>
      </c>
      <c r="F846" s="202">
        <f>D846+E846</f>
        <v>21043395.84</v>
      </c>
    </row>
    <row r="847" ht="20.25" customHeight="1" thickTop="1"/>
    <row r="854" spans="2:6" ht="20.25" customHeight="1">
      <c r="B854" s="146" t="s">
        <v>476</v>
      </c>
      <c r="C854" s="344" t="s">
        <v>493</v>
      </c>
      <c r="D854" s="344"/>
      <c r="E854" s="176"/>
      <c r="F854" s="177"/>
    </row>
    <row r="855" spans="2:6" ht="20.25" customHeight="1">
      <c r="B855" s="9" t="s">
        <v>78</v>
      </c>
      <c r="C855" s="178" t="s">
        <v>113</v>
      </c>
      <c r="D855" s="9" t="s">
        <v>109</v>
      </c>
      <c r="E855" s="9" t="s">
        <v>111</v>
      </c>
      <c r="F855" s="178" t="s">
        <v>114</v>
      </c>
    </row>
    <row r="856" spans="2:6" ht="20.25" customHeight="1">
      <c r="B856" s="189" t="s">
        <v>477</v>
      </c>
      <c r="C856" s="182">
        <v>80000</v>
      </c>
      <c r="D856" s="190"/>
      <c r="E856" s="182"/>
      <c r="F856" s="14">
        <f>C856-E856+D856</f>
        <v>80000</v>
      </c>
    </row>
    <row r="857" spans="2:6" ht="20.25" customHeight="1">
      <c r="B857" s="189" t="s">
        <v>478</v>
      </c>
      <c r="C857" s="182">
        <v>10000</v>
      </c>
      <c r="D857" s="14">
        <v>10000</v>
      </c>
      <c r="E857" s="182"/>
      <c r="F857" s="14">
        <f>C857-D857</f>
        <v>0</v>
      </c>
    </row>
    <row r="858" spans="2:6" ht="20.25" customHeight="1">
      <c r="B858" s="189" t="s">
        <v>479</v>
      </c>
      <c r="C858" s="182">
        <v>10000</v>
      </c>
      <c r="D858" s="14">
        <v>10000</v>
      </c>
      <c r="E858" s="182"/>
      <c r="F858" s="14">
        <v>0</v>
      </c>
    </row>
    <row r="859" spans="2:6" ht="20.25" customHeight="1">
      <c r="B859" s="189" t="s">
        <v>480</v>
      </c>
      <c r="C859" s="182">
        <v>60000</v>
      </c>
      <c r="D859" s="14">
        <v>60000</v>
      </c>
      <c r="E859" s="182"/>
      <c r="F859" s="14">
        <f>C859-D859</f>
        <v>0</v>
      </c>
    </row>
    <row r="860" spans="2:6" ht="20.25" customHeight="1">
      <c r="B860" s="189" t="s">
        <v>481</v>
      </c>
      <c r="C860" s="182">
        <v>100000</v>
      </c>
      <c r="D860" s="13"/>
      <c r="E860" s="14"/>
      <c r="F860" s="14">
        <f aca="true" t="shared" si="30" ref="F860:F866">C860-E860+D860</f>
        <v>100000</v>
      </c>
    </row>
    <row r="861" spans="2:6" ht="20.25" customHeight="1">
      <c r="B861" s="189" t="s">
        <v>482</v>
      </c>
      <c r="C861" s="182">
        <v>100000</v>
      </c>
      <c r="D861" s="13"/>
      <c r="E861" s="14"/>
      <c r="F861" s="14">
        <f t="shared" si="30"/>
        <v>100000</v>
      </c>
    </row>
    <row r="862" spans="2:6" ht="20.25" customHeight="1">
      <c r="B862" s="189" t="s">
        <v>484</v>
      </c>
      <c r="C862" s="182">
        <v>100000</v>
      </c>
      <c r="D862" s="13"/>
      <c r="E862" s="14"/>
      <c r="F862" s="14">
        <f t="shared" si="30"/>
        <v>100000</v>
      </c>
    </row>
    <row r="863" spans="2:6" ht="20.25" customHeight="1">
      <c r="B863" s="189" t="s">
        <v>483</v>
      </c>
      <c r="C863" s="182">
        <v>100000</v>
      </c>
      <c r="D863" s="13"/>
      <c r="E863" s="14"/>
      <c r="F863" s="14">
        <f t="shared" si="30"/>
        <v>100000</v>
      </c>
    </row>
    <row r="864" spans="2:6" ht="20.25" customHeight="1">
      <c r="B864" s="189" t="s">
        <v>485</v>
      </c>
      <c r="C864" s="182">
        <v>100000</v>
      </c>
      <c r="D864" s="13"/>
      <c r="E864" s="14"/>
      <c r="F864" s="14">
        <f t="shared" si="30"/>
        <v>100000</v>
      </c>
    </row>
    <row r="865" spans="2:6" ht="20.25" customHeight="1">
      <c r="B865" s="189" t="s">
        <v>486</v>
      </c>
      <c r="C865" s="182">
        <v>100000</v>
      </c>
      <c r="D865" s="13"/>
      <c r="E865" s="14"/>
      <c r="F865" s="14">
        <f t="shared" si="30"/>
        <v>100000</v>
      </c>
    </row>
    <row r="866" spans="2:6" ht="20.25" customHeight="1">
      <c r="B866" s="189" t="s">
        <v>487</v>
      </c>
      <c r="C866" s="182">
        <v>100000</v>
      </c>
      <c r="D866" s="14"/>
      <c r="E866" s="182"/>
      <c r="F866" s="14">
        <f t="shared" si="30"/>
        <v>100000</v>
      </c>
    </row>
    <row r="867" spans="2:6" ht="20.25" customHeight="1">
      <c r="B867" s="189" t="s">
        <v>577</v>
      </c>
      <c r="C867" s="182"/>
      <c r="D867" s="14"/>
      <c r="E867" s="182">
        <v>100000</v>
      </c>
      <c r="F867" s="14">
        <v>100000</v>
      </c>
    </row>
    <row r="868" spans="2:6" ht="20.25" customHeight="1">
      <c r="B868" s="189"/>
      <c r="C868" s="182"/>
      <c r="D868" s="14"/>
      <c r="E868" s="182"/>
      <c r="F868" s="14">
        <f>C868-E868</f>
        <v>0</v>
      </c>
    </row>
    <row r="869" spans="2:6" ht="20.25" customHeight="1" thickBot="1">
      <c r="B869" s="185" t="s">
        <v>46</v>
      </c>
      <c r="C869" s="15">
        <f>SUM(C856:C868)</f>
        <v>860000</v>
      </c>
      <c r="D869" s="15">
        <f>SUM(D856:D868)</f>
        <v>80000</v>
      </c>
      <c r="E869" s="186">
        <f>SUM(E856:E868)</f>
        <v>100000</v>
      </c>
      <c r="F869" s="178">
        <f>SUM(F856:F868)</f>
        <v>880000</v>
      </c>
    </row>
    <row r="870" ht="20.25" customHeight="1" thickTop="1"/>
    <row r="894" spans="2:6" ht="20.25" customHeight="1">
      <c r="B894" s="343" t="s">
        <v>112</v>
      </c>
      <c r="C894" s="343"/>
      <c r="D894" s="343"/>
      <c r="E894" s="343"/>
      <c r="F894" s="343"/>
    </row>
    <row r="895" spans="2:6" ht="20.25" customHeight="1">
      <c r="B895" s="8"/>
      <c r="C895" s="8"/>
      <c r="D895" s="8"/>
      <c r="E895" s="8"/>
      <c r="F895" s="8"/>
    </row>
    <row r="896" spans="2:6" ht="20.25" customHeight="1">
      <c r="B896" s="146" t="s">
        <v>123</v>
      </c>
      <c r="C896" s="344" t="s">
        <v>589</v>
      </c>
      <c r="D896" s="344"/>
      <c r="E896" s="176"/>
      <c r="F896" s="177"/>
    </row>
    <row r="897" spans="2:6" ht="20.25" customHeight="1">
      <c r="B897" s="9" t="s">
        <v>78</v>
      </c>
      <c r="C897" s="178" t="s">
        <v>113</v>
      </c>
      <c r="D897" s="9" t="s">
        <v>109</v>
      </c>
      <c r="E897" s="9" t="s">
        <v>111</v>
      </c>
      <c r="F897" s="179" t="s">
        <v>114</v>
      </c>
    </row>
    <row r="898" spans="2:6" ht="20.25" customHeight="1">
      <c r="B898" s="11" t="s">
        <v>110</v>
      </c>
      <c r="C898" s="180">
        <v>372770</v>
      </c>
      <c r="D898" s="12">
        <v>131400</v>
      </c>
      <c r="E898" s="181"/>
      <c r="F898" s="12">
        <f>C898+D898-E898</f>
        <v>504170</v>
      </c>
    </row>
    <row r="899" spans="2:6" ht="20.25" customHeight="1">
      <c r="B899" s="13" t="s">
        <v>77</v>
      </c>
      <c r="C899" s="182">
        <v>1009252.65</v>
      </c>
      <c r="D899" s="14">
        <v>0</v>
      </c>
      <c r="E899" s="183"/>
      <c r="F899" s="14">
        <f>C899+D899-E899</f>
        <v>1009252.65</v>
      </c>
    </row>
    <row r="900" spans="2:6" ht="20.25" customHeight="1">
      <c r="B900" s="13" t="s">
        <v>15</v>
      </c>
      <c r="C900" s="14">
        <v>4919.6</v>
      </c>
      <c r="D900" s="188">
        <v>7194.35</v>
      </c>
      <c r="E900" s="14">
        <v>4919.6</v>
      </c>
      <c r="F900" s="14">
        <f>C900+D900-E900</f>
        <v>7194.35</v>
      </c>
    </row>
    <row r="901" spans="2:6" ht="20.25" customHeight="1">
      <c r="B901" s="13" t="s">
        <v>16</v>
      </c>
      <c r="C901" s="182">
        <v>5647.41</v>
      </c>
      <c r="D901" s="14"/>
      <c r="E901" s="183">
        <v>5647.41</v>
      </c>
      <c r="F901" s="14">
        <f aca="true" t="shared" si="31" ref="F901:F914">C901+D901-E901</f>
        <v>0</v>
      </c>
    </row>
    <row r="902" spans="2:6" ht="20.25" customHeight="1">
      <c r="B902" s="13" t="s">
        <v>17</v>
      </c>
      <c r="C902" s="182">
        <v>2785.57</v>
      </c>
      <c r="D902" s="14">
        <v>16.8</v>
      </c>
      <c r="E902" s="183"/>
      <c r="F902" s="14">
        <f t="shared" si="31"/>
        <v>2802.3700000000003</v>
      </c>
    </row>
    <row r="903" spans="2:6" ht="20.25" customHeight="1">
      <c r="B903" s="13" t="s">
        <v>141</v>
      </c>
      <c r="C903" s="182">
        <v>225</v>
      </c>
      <c r="D903" s="14"/>
      <c r="E903" s="183"/>
      <c r="F903" s="14">
        <f t="shared" si="31"/>
        <v>225</v>
      </c>
    </row>
    <row r="904" spans="2:6" ht="20.25" customHeight="1">
      <c r="B904" s="13" t="s">
        <v>173</v>
      </c>
      <c r="C904" s="182">
        <v>114.76</v>
      </c>
      <c r="D904" s="14"/>
      <c r="E904" s="183">
        <v>114.76</v>
      </c>
      <c r="F904" s="14">
        <f t="shared" si="31"/>
        <v>0</v>
      </c>
    </row>
    <row r="905" spans="2:6" ht="20.25" customHeight="1">
      <c r="B905" s="72" t="s">
        <v>204</v>
      </c>
      <c r="C905" s="14">
        <v>13000</v>
      </c>
      <c r="D905" s="14"/>
      <c r="E905" s="183"/>
      <c r="F905" s="14">
        <f t="shared" si="31"/>
        <v>13000</v>
      </c>
    </row>
    <row r="906" spans="2:6" ht="20.25" customHeight="1">
      <c r="B906" s="13" t="s">
        <v>205</v>
      </c>
      <c r="C906" s="182">
        <v>150500</v>
      </c>
      <c r="D906" s="14"/>
      <c r="E906" s="183"/>
      <c r="F906" s="14">
        <f t="shared" si="31"/>
        <v>150500</v>
      </c>
    </row>
    <row r="907" spans="2:6" ht="20.25" customHeight="1">
      <c r="B907" s="13" t="s">
        <v>206</v>
      </c>
      <c r="C907" s="182">
        <v>14400</v>
      </c>
      <c r="D907" s="14"/>
      <c r="E907" s="183"/>
      <c r="F907" s="14">
        <f t="shared" si="31"/>
        <v>14400</v>
      </c>
    </row>
    <row r="908" spans="2:6" ht="20.25" customHeight="1">
      <c r="B908" s="13" t="s">
        <v>207</v>
      </c>
      <c r="C908" s="182">
        <v>743.25</v>
      </c>
      <c r="D908" s="14"/>
      <c r="E908" s="183">
        <v>743.25</v>
      </c>
      <c r="F908" s="14">
        <f t="shared" si="31"/>
        <v>0</v>
      </c>
    </row>
    <row r="909" spans="2:6" ht="20.25" customHeight="1">
      <c r="B909" s="155" t="s">
        <v>426</v>
      </c>
      <c r="C909" s="14"/>
      <c r="D909" s="14"/>
      <c r="E909" s="183"/>
      <c r="F909" s="14">
        <f t="shared" si="31"/>
        <v>0</v>
      </c>
    </row>
    <row r="910" spans="2:6" ht="20.25" customHeight="1">
      <c r="B910" s="13" t="s">
        <v>168</v>
      </c>
      <c r="C910" s="279"/>
      <c r="D910" s="14">
        <v>7853</v>
      </c>
      <c r="E910" s="183">
        <v>7853</v>
      </c>
      <c r="F910" s="14">
        <f t="shared" si="31"/>
        <v>0</v>
      </c>
    </row>
    <row r="911" spans="2:6" ht="20.25" customHeight="1">
      <c r="B911" s="13" t="s">
        <v>223</v>
      </c>
      <c r="C911" s="184"/>
      <c r="D911" s="209">
        <v>34877</v>
      </c>
      <c r="E911" s="209">
        <v>34877</v>
      </c>
      <c r="F911" s="14">
        <f t="shared" si="31"/>
        <v>0</v>
      </c>
    </row>
    <row r="912" spans="2:6" ht="20.25" customHeight="1">
      <c r="B912" s="13" t="s">
        <v>224</v>
      </c>
      <c r="C912" s="184"/>
      <c r="D912" s="209">
        <v>36700</v>
      </c>
      <c r="E912" s="209">
        <v>36700</v>
      </c>
      <c r="F912" s="14">
        <f t="shared" si="31"/>
        <v>0</v>
      </c>
    </row>
    <row r="913" spans="2:6" ht="20.25" customHeight="1">
      <c r="B913" s="13" t="s">
        <v>225</v>
      </c>
      <c r="C913" s="184"/>
      <c r="D913" s="209">
        <v>54980</v>
      </c>
      <c r="E913" s="209">
        <v>54980</v>
      </c>
      <c r="F913" s="14">
        <f t="shared" si="31"/>
        <v>0</v>
      </c>
    </row>
    <row r="914" spans="2:6" ht="20.25" customHeight="1">
      <c r="B914" s="13" t="s">
        <v>226</v>
      </c>
      <c r="C914" s="184"/>
      <c r="D914" s="209">
        <v>30069</v>
      </c>
      <c r="E914" s="209">
        <v>30069</v>
      </c>
      <c r="F914" s="191">
        <f t="shared" si="31"/>
        <v>0</v>
      </c>
    </row>
    <row r="915" spans="2:6" ht="20.25" customHeight="1" thickBot="1">
      <c r="B915" s="208" t="s">
        <v>46</v>
      </c>
      <c r="C915" s="15">
        <f>SUM(C898:C910)</f>
        <v>1574358.24</v>
      </c>
      <c r="D915" s="15">
        <f>SUM(D898:D914)</f>
        <v>303090.15</v>
      </c>
      <c r="E915" s="186">
        <f>SUM(E898:E914)</f>
        <v>175904.02000000002</v>
      </c>
      <c r="F915" s="192">
        <f>SUM(F898:F914)</f>
        <v>1701544.37</v>
      </c>
    </row>
    <row r="916" ht="20.25" customHeight="1" thickTop="1"/>
    <row r="917" spans="2:6" ht="20.25" customHeight="1">
      <c r="B917" s="146" t="s">
        <v>18</v>
      </c>
      <c r="C917" s="344" t="s">
        <v>590</v>
      </c>
      <c r="D917" s="344"/>
      <c r="E917" s="176"/>
      <c r="F917" s="177"/>
    </row>
    <row r="918" spans="2:6" ht="20.25" customHeight="1">
      <c r="B918" s="9" t="s">
        <v>78</v>
      </c>
      <c r="C918" s="178" t="s">
        <v>113</v>
      </c>
      <c r="D918" s="9" t="s">
        <v>109</v>
      </c>
      <c r="E918" s="9" t="s">
        <v>111</v>
      </c>
      <c r="F918" s="178" t="s">
        <v>114</v>
      </c>
    </row>
    <row r="919" spans="2:6" ht="20.25" customHeight="1">
      <c r="B919" s="189" t="s">
        <v>210</v>
      </c>
      <c r="C919" s="182">
        <v>1500</v>
      </c>
      <c r="D919" s="190"/>
      <c r="E919" s="182"/>
      <c r="F919" s="14">
        <f aca="true" t="shared" si="32" ref="F919:F929">C919-E919</f>
        <v>1500</v>
      </c>
    </row>
    <row r="920" spans="2:6" ht="20.25" customHeight="1">
      <c r="B920" s="189" t="s">
        <v>211</v>
      </c>
      <c r="C920" s="182">
        <v>1000</v>
      </c>
      <c r="D920" s="190"/>
      <c r="E920" s="182"/>
      <c r="F920" s="14">
        <f t="shared" si="32"/>
        <v>1000</v>
      </c>
    </row>
    <row r="921" spans="2:6" ht="20.25" customHeight="1">
      <c r="B921" s="189" t="s">
        <v>213</v>
      </c>
      <c r="C921" s="182">
        <v>0</v>
      </c>
      <c r="D921" s="190"/>
      <c r="E921" s="182"/>
      <c r="F921" s="14">
        <f t="shared" si="32"/>
        <v>0</v>
      </c>
    </row>
    <row r="922" spans="2:6" ht="20.25" customHeight="1">
      <c r="B922" s="189" t="s">
        <v>214</v>
      </c>
      <c r="C922" s="182">
        <v>0</v>
      </c>
      <c r="D922" s="190"/>
      <c r="E922" s="182"/>
      <c r="F922" s="14">
        <f t="shared" si="32"/>
        <v>0</v>
      </c>
    </row>
    <row r="923" spans="2:6" ht="20.25" customHeight="1">
      <c r="B923" s="189" t="s">
        <v>215</v>
      </c>
      <c r="C923" s="182">
        <v>0</v>
      </c>
      <c r="D923" s="190"/>
      <c r="E923" s="182"/>
      <c r="F923" s="14">
        <f t="shared" si="32"/>
        <v>0</v>
      </c>
    </row>
    <row r="924" spans="2:6" ht="20.25" customHeight="1">
      <c r="B924" s="189" t="s">
        <v>187</v>
      </c>
      <c r="C924" s="182">
        <v>164.5</v>
      </c>
      <c r="D924" s="14"/>
      <c r="E924" s="182"/>
      <c r="F924" s="14">
        <f t="shared" si="32"/>
        <v>164.5</v>
      </c>
    </row>
    <row r="925" spans="2:6" ht="20.25" customHeight="1">
      <c r="B925" s="189" t="s">
        <v>187</v>
      </c>
      <c r="C925" s="182"/>
      <c r="D925" s="14"/>
      <c r="E925" s="182"/>
      <c r="F925" s="14">
        <f t="shared" si="32"/>
        <v>0</v>
      </c>
    </row>
    <row r="926" spans="2:6" ht="20.25" customHeight="1">
      <c r="B926" s="189" t="s">
        <v>218</v>
      </c>
      <c r="C926" s="182"/>
      <c r="D926" s="14"/>
      <c r="E926" s="182"/>
      <c r="F926" s="14">
        <f t="shared" si="32"/>
        <v>0</v>
      </c>
    </row>
    <row r="927" spans="2:6" ht="20.25" customHeight="1">
      <c r="B927" s="189" t="s">
        <v>219</v>
      </c>
      <c r="C927" s="182"/>
      <c r="D927" s="14"/>
      <c r="E927" s="182"/>
      <c r="F927" s="14">
        <f t="shared" si="32"/>
        <v>0</v>
      </c>
    </row>
    <row r="928" spans="2:6" ht="20.25" customHeight="1">
      <c r="B928" s="189" t="s">
        <v>220</v>
      </c>
      <c r="C928" s="182"/>
      <c r="D928" s="14"/>
      <c r="E928" s="182"/>
      <c r="F928" s="14">
        <f t="shared" si="32"/>
        <v>0</v>
      </c>
    </row>
    <row r="929" spans="2:6" ht="20.25" customHeight="1">
      <c r="B929" s="189" t="s">
        <v>221</v>
      </c>
      <c r="C929" s="182"/>
      <c r="D929" s="14"/>
      <c r="E929" s="182"/>
      <c r="F929" s="14">
        <f t="shared" si="32"/>
        <v>0</v>
      </c>
    </row>
    <row r="930" spans="2:6" ht="20.25" customHeight="1" thickBot="1">
      <c r="B930" s="185" t="s">
        <v>46</v>
      </c>
      <c r="C930" s="15">
        <f>SUM(C919:C929)</f>
        <v>2664.5</v>
      </c>
      <c r="D930" s="15">
        <f>SUM(D924:D928)</f>
        <v>0</v>
      </c>
      <c r="E930" s="186">
        <f>SUM(E919:E929)</f>
        <v>0</v>
      </c>
      <c r="F930" s="178">
        <f>SUM(F919:F929)</f>
        <v>2664.5</v>
      </c>
    </row>
    <row r="931" spans="2:6" ht="20.25" customHeight="1" thickTop="1">
      <c r="B931" s="145"/>
      <c r="D931" s="182"/>
      <c r="E931" s="182"/>
      <c r="F931" s="194"/>
    </row>
    <row r="936" spans="2:6" ht="20.25" customHeight="1">
      <c r="B936" s="8" t="s">
        <v>79</v>
      </c>
      <c r="C936" s="344" t="s">
        <v>590</v>
      </c>
      <c r="D936" s="344"/>
      <c r="E936" s="193"/>
      <c r="F936" s="194"/>
    </row>
    <row r="937" spans="2:6" ht="20.25" customHeight="1">
      <c r="B937" s="345" t="s">
        <v>78</v>
      </c>
      <c r="C937" s="345"/>
      <c r="D937" s="9" t="s">
        <v>113</v>
      </c>
      <c r="E937" s="17" t="s">
        <v>109</v>
      </c>
      <c r="F937" s="178" t="s">
        <v>114</v>
      </c>
    </row>
    <row r="938" spans="2:6" ht="20.25" customHeight="1">
      <c r="B938" s="195" t="s">
        <v>19</v>
      </c>
      <c r="C938" s="196"/>
      <c r="D938" s="188">
        <v>43603.43</v>
      </c>
      <c r="E938" s="12">
        <v>262.7</v>
      </c>
      <c r="F938" s="204">
        <f>E938+D938</f>
        <v>43866.13</v>
      </c>
    </row>
    <row r="939" spans="2:6" ht="20.25" customHeight="1">
      <c r="B939" s="197" t="s">
        <v>177</v>
      </c>
      <c r="C939" s="198"/>
      <c r="D939" s="188">
        <v>2000</v>
      </c>
      <c r="E939" s="14"/>
      <c r="F939" s="204">
        <f>E939+D939</f>
        <v>2000</v>
      </c>
    </row>
    <row r="940" spans="2:6" ht="20.25" customHeight="1">
      <c r="B940" s="197" t="s">
        <v>172</v>
      </c>
      <c r="C940" s="198"/>
      <c r="D940" s="188">
        <v>27571</v>
      </c>
      <c r="E940" s="14"/>
      <c r="F940" s="204">
        <f aca="true" t="shared" si="33" ref="F940:F964">E940+D940</f>
        <v>27571</v>
      </c>
    </row>
    <row r="941" spans="2:6" ht="20.25" customHeight="1">
      <c r="B941" s="197" t="s">
        <v>23</v>
      </c>
      <c r="C941" s="198"/>
      <c r="D941" s="188">
        <v>7016</v>
      </c>
      <c r="E941" s="14">
        <v>1524</v>
      </c>
      <c r="F941" s="204">
        <f t="shared" si="33"/>
        <v>8540</v>
      </c>
    </row>
    <row r="942" spans="2:6" ht="20.25" customHeight="1">
      <c r="B942" s="197" t="s">
        <v>169</v>
      </c>
      <c r="C942" s="198"/>
      <c r="D942" s="188">
        <v>250</v>
      </c>
      <c r="E942" s="14">
        <v>100</v>
      </c>
      <c r="F942" s="204">
        <f t="shared" si="33"/>
        <v>350</v>
      </c>
    </row>
    <row r="943" spans="2:6" ht="20.25" customHeight="1">
      <c r="B943" s="197" t="s">
        <v>188</v>
      </c>
      <c r="C943" s="198"/>
      <c r="D943" s="188">
        <v>7764</v>
      </c>
      <c r="E943" s="14">
        <v>8165</v>
      </c>
      <c r="F943" s="204">
        <f t="shared" si="33"/>
        <v>15929</v>
      </c>
    </row>
    <row r="944" spans="2:6" ht="20.25" customHeight="1">
      <c r="B944" s="197" t="s">
        <v>227</v>
      </c>
      <c r="C944" s="198"/>
      <c r="D944" s="188">
        <v>853.6</v>
      </c>
      <c r="E944" s="14">
        <v>19.4</v>
      </c>
      <c r="F944" s="204">
        <f t="shared" si="33"/>
        <v>873</v>
      </c>
    </row>
    <row r="945" spans="2:6" ht="20.25" customHeight="1">
      <c r="B945" s="236" t="s">
        <v>198</v>
      </c>
      <c r="C945" s="198"/>
      <c r="D945" s="188">
        <v>500</v>
      </c>
      <c r="E945" s="14">
        <v>400</v>
      </c>
      <c r="F945" s="204">
        <f t="shared" si="33"/>
        <v>900</v>
      </c>
    </row>
    <row r="946" spans="2:6" ht="20.25" customHeight="1">
      <c r="B946" s="197" t="s">
        <v>27</v>
      </c>
      <c r="C946" s="198"/>
      <c r="D946" s="188">
        <v>5200</v>
      </c>
      <c r="E946" s="14"/>
      <c r="F946" s="204">
        <f t="shared" si="33"/>
        <v>5200</v>
      </c>
    </row>
    <row r="947" spans="2:6" ht="20.25" customHeight="1">
      <c r="B947" s="197" t="s">
        <v>43</v>
      </c>
      <c r="C947" s="198"/>
      <c r="D947" s="188">
        <v>8269.4</v>
      </c>
      <c r="E947" s="14"/>
      <c r="F947" s="204">
        <f t="shared" si="33"/>
        <v>8269.4</v>
      </c>
    </row>
    <row r="948" spans="2:6" ht="20.25" customHeight="1">
      <c r="B948" s="197" t="s">
        <v>174</v>
      </c>
      <c r="C948" s="198"/>
      <c r="D948" s="188">
        <v>23672.04</v>
      </c>
      <c r="E948" s="14"/>
      <c r="F948" s="204">
        <f t="shared" si="33"/>
        <v>23672.04</v>
      </c>
    </row>
    <row r="949" spans="2:6" ht="20.25" customHeight="1">
      <c r="B949" s="197" t="s">
        <v>409</v>
      </c>
      <c r="C949" s="198"/>
      <c r="D949" s="188">
        <v>34593.86</v>
      </c>
      <c r="E949" s="14"/>
      <c r="F949" s="204">
        <f t="shared" si="33"/>
        <v>34593.86</v>
      </c>
    </row>
    <row r="950" spans="2:6" ht="20.25" customHeight="1">
      <c r="B950" s="197" t="s">
        <v>171</v>
      </c>
      <c r="C950" s="198"/>
      <c r="D950" s="188">
        <v>6733481.32</v>
      </c>
      <c r="E950" s="14">
        <v>874806.78</v>
      </c>
      <c r="F950" s="204">
        <f t="shared" si="33"/>
        <v>7608288.100000001</v>
      </c>
    </row>
    <row r="951" spans="2:6" ht="20.25" customHeight="1">
      <c r="B951" s="197" t="s">
        <v>10</v>
      </c>
      <c r="C951" s="198"/>
      <c r="D951" s="188">
        <v>314014</v>
      </c>
      <c r="E951" s="14">
        <v>30481</v>
      </c>
      <c r="F951" s="204">
        <f t="shared" si="33"/>
        <v>344495</v>
      </c>
    </row>
    <row r="952" spans="2:6" ht="20.25" customHeight="1">
      <c r="B952" s="197" t="s">
        <v>176</v>
      </c>
      <c r="C952" s="198"/>
      <c r="D952" s="188">
        <v>321418.09</v>
      </c>
      <c r="E952" s="14">
        <v>35552.82</v>
      </c>
      <c r="F952" s="204">
        <f t="shared" si="33"/>
        <v>356970.91000000003</v>
      </c>
    </row>
    <row r="953" spans="2:6" ht="20.25" customHeight="1">
      <c r="B953" s="197" t="s">
        <v>9</v>
      </c>
      <c r="C953" s="198"/>
      <c r="D953" s="188">
        <v>1261191.7</v>
      </c>
      <c r="E953" s="14">
        <v>122224.9</v>
      </c>
      <c r="F953" s="204">
        <f t="shared" si="33"/>
        <v>1383416.5999999999</v>
      </c>
    </row>
    <row r="954" spans="2:6" ht="20.25" customHeight="1">
      <c r="B954" s="197" t="s">
        <v>24</v>
      </c>
      <c r="C954" s="198"/>
      <c r="D954" s="188">
        <v>59632.84</v>
      </c>
      <c r="E954" s="14">
        <v>7270.08</v>
      </c>
      <c r="F954" s="204">
        <f t="shared" si="33"/>
        <v>66902.92</v>
      </c>
    </row>
    <row r="955" spans="2:6" ht="20.25" customHeight="1">
      <c r="B955" s="197" t="s">
        <v>20</v>
      </c>
      <c r="C955" s="198"/>
      <c r="D955" s="188">
        <v>606470.18</v>
      </c>
      <c r="E955" s="14">
        <v>58303.11</v>
      </c>
      <c r="F955" s="204">
        <f t="shared" si="33"/>
        <v>664773.29</v>
      </c>
    </row>
    <row r="956" spans="2:6" ht="20.25" customHeight="1">
      <c r="B956" s="197" t="s">
        <v>21</v>
      </c>
      <c r="C956" s="198"/>
      <c r="D956" s="188">
        <v>1477956.03</v>
      </c>
      <c r="E956" s="14">
        <v>142149.35</v>
      </c>
      <c r="F956" s="204">
        <f t="shared" si="33"/>
        <v>1620105.3800000001</v>
      </c>
    </row>
    <row r="957" spans="2:6" ht="20.25" customHeight="1">
      <c r="B957" s="197" t="s">
        <v>22</v>
      </c>
      <c r="C957" s="198"/>
      <c r="D957" s="188">
        <v>22913.35</v>
      </c>
      <c r="E957" s="14"/>
      <c r="F957" s="204">
        <f t="shared" si="33"/>
        <v>22913.35</v>
      </c>
    </row>
    <row r="958" spans="2:6" ht="20.25" customHeight="1">
      <c r="B958" s="197" t="s">
        <v>28</v>
      </c>
      <c r="C958" s="198"/>
      <c r="D958" s="188">
        <v>2663261</v>
      </c>
      <c r="E958" s="14"/>
      <c r="F958" s="204">
        <f t="shared" si="33"/>
        <v>2663261</v>
      </c>
    </row>
    <row r="959" spans="2:6" ht="20.25" customHeight="1">
      <c r="B959" s="197" t="s">
        <v>393</v>
      </c>
      <c r="C959" s="198"/>
      <c r="D959" s="188">
        <v>4263200</v>
      </c>
      <c r="E959" s="14"/>
      <c r="F959" s="204">
        <f t="shared" si="33"/>
        <v>4263200</v>
      </c>
    </row>
    <row r="960" spans="2:6" ht="20.25" customHeight="1">
      <c r="B960" s="197" t="s">
        <v>394</v>
      </c>
      <c r="C960" s="198"/>
      <c r="D960" s="188">
        <v>700800</v>
      </c>
      <c r="E960" s="14"/>
      <c r="F960" s="204">
        <f t="shared" si="33"/>
        <v>700800</v>
      </c>
    </row>
    <row r="961" spans="2:6" ht="20.25" customHeight="1">
      <c r="B961" s="197" t="s">
        <v>395</v>
      </c>
      <c r="C961" s="198"/>
      <c r="D961" s="188">
        <v>24000</v>
      </c>
      <c r="E961" s="14"/>
      <c r="F961" s="204">
        <f t="shared" si="33"/>
        <v>24000</v>
      </c>
    </row>
    <row r="962" spans="2:6" ht="20.25" customHeight="1">
      <c r="B962" s="197" t="s">
        <v>396</v>
      </c>
      <c r="C962" s="198"/>
      <c r="D962" s="188">
        <v>474442</v>
      </c>
      <c r="E962" s="14"/>
      <c r="F962" s="204">
        <f t="shared" si="33"/>
        <v>474442</v>
      </c>
    </row>
    <row r="963" spans="2:6" ht="20.25" customHeight="1">
      <c r="B963" s="197" t="s">
        <v>402</v>
      </c>
      <c r="C963" s="198"/>
      <c r="D963" s="188">
        <v>100300</v>
      </c>
      <c r="E963" s="14"/>
      <c r="F963" s="204">
        <f t="shared" si="33"/>
        <v>100300</v>
      </c>
    </row>
    <row r="964" spans="2:6" ht="20.25" customHeight="1">
      <c r="B964" s="197" t="s">
        <v>397</v>
      </c>
      <c r="C964" s="198"/>
      <c r="D964" s="188">
        <v>113056</v>
      </c>
      <c r="E964" s="14"/>
      <c r="F964" s="204">
        <f t="shared" si="33"/>
        <v>113056</v>
      </c>
    </row>
    <row r="965" spans="2:6" ht="20.25" customHeight="1">
      <c r="B965" s="197" t="s">
        <v>398</v>
      </c>
      <c r="C965" s="198"/>
      <c r="D965" s="188">
        <v>289100</v>
      </c>
      <c r="E965" s="14"/>
      <c r="F965" s="204">
        <f>E965+D965</f>
        <v>289100</v>
      </c>
    </row>
    <row r="966" spans="2:6" ht="20.25" customHeight="1">
      <c r="B966" s="197" t="s">
        <v>399</v>
      </c>
      <c r="C966" s="198"/>
      <c r="D966" s="188">
        <v>471866</v>
      </c>
      <c r="E966" s="14"/>
      <c r="F966" s="204">
        <f>E966+D966</f>
        <v>471866</v>
      </c>
    </row>
    <row r="967" spans="2:6" ht="20.25" customHeight="1">
      <c r="B967" s="197" t="s">
        <v>400</v>
      </c>
      <c r="C967" s="198"/>
      <c r="D967" s="188">
        <v>985000</v>
      </c>
      <c r="E967" s="14"/>
      <c r="F967" s="204">
        <f>E967+D967</f>
        <v>985000</v>
      </c>
    </row>
    <row r="968" spans="2:6" ht="20.25" customHeight="1">
      <c r="B968" s="197"/>
      <c r="C968" s="198"/>
      <c r="D968" s="188"/>
      <c r="E968" s="14"/>
      <c r="F968" s="204"/>
    </row>
    <row r="969" spans="2:6" ht="20.25" customHeight="1" thickBot="1">
      <c r="B969" s="199" t="s">
        <v>46</v>
      </c>
      <c r="C969" s="200"/>
      <c r="D969" s="16">
        <f>SUM(D938:D967)</f>
        <v>21043395.839999996</v>
      </c>
      <c r="E969" s="201">
        <f>SUM(E938:E967)</f>
        <v>1281259.1400000001</v>
      </c>
      <c r="F969" s="202">
        <f>D969+E969</f>
        <v>22324654.979999997</v>
      </c>
    </row>
    <row r="970" ht="20.25" customHeight="1" thickTop="1"/>
    <row r="977" spans="2:6" ht="20.25" customHeight="1">
      <c r="B977" s="146" t="s">
        <v>476</v>
      </c>
      <c r="C977" s="344" t="s">
        <v>589</v>
      </c>
      <c r="D977" s="344"/>
      <c r="E977" s="176"/>
      <c r="F977" s="177"/>
    </row>
    <row r="978" spans="2:6" ht="20.25" customHeight="1">
      <c r="B978" s="9" t="s">
        <v>78</v>
      </c>
      <c r="C978" s="178" t="s">
        <v>113</v>
      </c>
      <c r="D978" s="9" t="s">
        <v>109</v>
      </c>
      <c r="E978" s="9" t="s">
        <v>111</v>
      </c>
      <c r="F978" s="178" t="s">
        <v>114</v>
      </c>
    </row>
    <row r="979" spans="2:6" ht="20.25" customHeight="1">
      <c r="B979" s="189" t="s">
        <v>477</v>
      </c>
      <c r="C979" s="182">
        <v>80000</v>
      </c>
      <c r="D979" s="14">
        <v>10000</v>
      </c>
      <c r="E979" s="182"/>
      <c r="F979" s="14">
        <f>C979-D979</f>
        <v>70000</v>
      </c>
    </row>
    <row r="980" spans="2:6" ht="20.25" customHeight="1">
      <c r="B980" s="189" t="s">
        <v>481</v>
      </c>
      <c r="C980" s="182">
        <v>100000</v>
      </c>
      <c r="D980" s="13"/>
      <c r="E980" s="14"/>
      <c r="F980" s="14">
        <f aca="true" t="shared" si="34" ref="F980:F986">C980-E980+D980</f>
        <v>100000</v>
      </c>
    </row>
    <row r="981" spans="2:6" ht="20.25" customHeight="1">
      <c r="B981" s="189" t="s">
        <v>482</v>
      </c>
      <c r="C981" s="182">
        <v>100000</v>
      </c>
      <c r="D981" s="142"/>
      <c r="E981" s="14"/>
      <c r="F981" s="14">
        <f t="shared" si="34"/>
        <v>100000</v>
      </c>
    </row>
    <row r="982" spans="2:6" ht="20.25" customHeight="1">
      <c r="B982" s="189" t="s">
        <v>484</v>
      </c>
      <c r="C982" s="182">
        <v>100000</v>
      </c>
      <c r="D982" s="13"/>
      <c r="E982" s="14"/>
      <c r="F982" s="14">
        <f t="shared" si="34"/>
        <v>100000</v>
      </c>
    </row>
    <row r="983" spans="2:6" ht="20.25" customHeight="1">
      <c r="B983" s="189" t="s">
        <v>483</v>
      </c>
      <c r="C983" s="182">
        <v>100000</v>
      </c>
      <c r="D983" s="13"/>
      <c r="E983" s="14"/>
      <c r="F983" s="14">
        <f t="shared" si="34"/>
        <v>100000</v>
      </c>
    </row>
    <row r="984" spans="2:6" ht="20.25" customHeight="1">
      <c r="B984" s="189" t="s">
        <v>485</v>
      </c>
      <c r="C984" s="182">
        <v>100000</v>
      </c>
      <c r="D984" s="13"/>
      <c r="E984" s="14"/>
      <c r="F984" s="14">
        <f t="shared" si="34"/>
        <v>100000</v>
      </c>
    </row>
    <row r="985" spans="2:6" ht="20.25" customHeight="1">
      <c r="B985" s="189" t="s">
        <v>486</v>
      </c>
      <c r="C985" s="182">
        <v>100000</v>
      </c>
      <c r="D985" s="13"/>
      <c r="E985" s="14"/>
      <c r="F985" s="14">
        <f t="shared" si="34"/>
        <v>100000</v>
      </c>
    </row>
    <row r="986" spans="2:6" ht="20.25" customHeight="1">
      <c r="B986" s="189" t="s">
        <v>487</v>
      </c>
      <c r="C986" s="182">
        <v>100000</v>
      </c>
      <c r="D986" s="14">
        <v>100000</v>
      </c>
      <c r="E986" s="182">
        <v>100000</v>
      </c>
      <c r="F986" s="14">
        <f t="shared" si="34"/>
        <v>100000</v>
      </c>
    </row>
    <row r="987" spans="2:6" ht="20.25" customHeight="1">
      <c r="B987" s="189" t="s">
        <v>577</v>
      </c>
      <c r="C987" s="182">
        <v>100000</v>
      </c>
      <c r="D987" s="14"/>
      <c r="E987" s="182">
        <v>0</v>
      </c>
      <c r="F987" s="14">
        <v>100000</v>
      </c>
    </row>
    <row r="988" spans="2:6" ht="20.25" customHeight="1">
      <c r="B988" s="13" t="s">
        <v>591</v>
      </c>
      <c r="C988" s="182"/>
      <c r="D988" s="14"/>
      <c r="E988" s="182">
        <v>50000</v>
      </c>
      <c r="F988" s="14">
        <v>50000</v>
      </c>
    </row>
    <row r="989" spans="2:6" ht="20.25" customHeight="1">
      <c r="B989" s="13" t="s">
        <v>592</v>
      </c>
      <c r="C989" s="182"/>
      <c r="D989" s="14"/>
      <c r="E989" s="182">
        <v>50000</v>
      </c>
      <c r="F989" s="14">
        <v>50000</v>
      </c>
    </row>
    <row r="990" spans="2:6" ht="20.25" customHeight="1">
      <c r="B990" s="189"/>
      <c r="C990" s="182"/>
      <c r="D990" s="14"/>
      <c r="E990" s="182"/>
      <c r="F990" s="14">
        <f>C990-E990</f>
        <v>0</v>
      </c>
    </row>
    <row r="991" spans="2:6" ht="20.25" customHeight="1" thickBot="1">
      <c r="B991" s="185" t="s">
        <v>46</v>
      </c>
      <c r="C991" s="15">
        <f>SUM(C979:C990)</f>
        <v>880000</v>
      </c>
      <c r="D991" s="15">
        <f>SUM(D979:D990)</f>
        <v>110000</v>
      </c>
      <c r="E991" s="186">
        <f>SUM(E979:E990)</f>
        <v>200000</v>
      </c>
      <c r="F991" s="178">
        <f>SUM(F979:F990)</f>
        <v>970000</v>
      </c>
    </row>
    <row r="992" ht="20.25" customHeight="1" thickTop="1"/>
    <row r="1017" spans="2:6" ht="20.25" customHeight="1">
      <c r="B1017" s="343" t="s">
        <v>112</v>
      </c>
      <c r="C1017" s="343"/>
      <c r="D1017" s="343"/>
      <c r="E1017" s="343"/>
      <c r="F1017" s="343"/>
    </row>
    <row r="1018" spans="2:6" ht="20.25" customHeight="1">
      <c r="B1018" s="8"/>
      <c r="C1018" s="8"/>
      <c r="D1018" s="8"/>
      <c r="E1018" s="8"/>
      <c r="F1018" s="8"/>
    </row>
    <row r="1019" spans="2:6" ht="21.75" customHeight="1">
      <c r="B1019" s="146" t="s">
        <v>123</v>
      </c>
      <c r="C1019" s="344" t="s">
        <v>617</v>
      </c>
      <c r="D1019" s="344"/>
      <c r="E1019" s="176"/>
      <c r="F1019" s="177"/>
    </row>
    <row r="1020" spans="2:6" ht="21.75" customHeight="1">
      <c r="B1020" s="9" t="s">
        <v>78</v>
      </c>
      <c r="C1020" s="178" t="s">
        <v>113</v>
      </c>
      <c r="D1020" s="9" t="s">
        <v>109</v>
      </c>
      <c r="E1020" s="9" t="s">
        <v>111</v>
      </c>
      <c r="F1020" s="179" t="s">
        <v>114</v>
      </c>
    </row>
    <row r="1021" spans="2:6" ht="21.75" customHeight="1">
      <c r="B1021" s="11" t="s">
        <v>110</v>
      </c>
      <c r="C1021" s="180">
        <v>504170</v>
      </c>
      <c r="D1021" s="12">
        <v>1425</v>
      </c>
      <c r="E1021" s="181">
        <v>103375</v>
      </c>
      <c r="F1021" s="12">
        <f>C1021+D1021-E1021</f>
        <v>402220</v>
      </c>
    </row>
    <row r="1022" spans="2:6" ht="21.75" customHeight="1">
      <c r="B1022" s="13" t="s">
        <v>77</v>
      </c>
      <c r="C1022" s="182">
        <v>1009252.65</v>
      </c>
      <c r="D1022" s="14">
        <v>364.43</v>
      </c>
      <c r="E1022" s="183"/>
      <c r="F1022" s="14">
        <f>C1022+D1022-E1022</f>
        <v>1009617.0800000001</v>
      </c>
    </row>
    <row r="1023" spans="2:6" ht="21.75" customHeight="1">
      <c r="B1023" s="13" t="s">
        <v>15</v>
      </c>
      <c r="C1023" s="14">
        <v>7194.35</v>
      </c>
      <c r="D1023" s="188">
        <v>11468.04</v>
      </c>
      <c r="E1023" s="14">
        <v>7194.35</v>
      </c>
      <c r="F1023" s="14">
        <f>C1023+D1023-E1023</f>
        <v>11468.039999999999</v>
      </c>
    </row>
    <row r="1024" spans="2:6" ht="21.75" customHeight="1">
      <c r="B1024" s="13" t="s">
        <v>17</v>
      </c>
      <c r="C1024" s="182">
        <v>2802.37</v>
      </c>
      <c r="D1024" s="14">
        <v>88.12</v>
      </c>
      <c r="E1024" s="183"/>
      <c r="F1024" s="14">
        <f aca="true" t="shared" si="35" ref="F1024:F1033">C1024+D1024-E1024</f>
        <v>2890.49</v>
      </c>
    </row>
    <row r="1025" spans="2:6" ht="21.75" customHeight="1">
      <c r="B1025" s="13" t="s">
        <v>141</v>
      </c>
      <c r="C1025" s="182">
        <v>225</v>
      </c>
      <c r="D1025" s="14"/>
      <c r="E1025" s="183"/>
      <c r="F1025" s="14">
        <f t="shared" si="35"/>
        <v>225</v>
      </c>
    </row>
    <row r="1026" spans="2:6" ht="21.75" customHeight="1">
      <c r="B1026" s="72" t="s">
        <v>204</v>
      </c>
      <c r="C1026" s="14">
        <v>13000</v>
      </c>
      <c r="D1026" s="14"/>
      <c r="E1026" s="183"/>
      <c r="F1026" s="14">
        <f t="shared" si="35"/>
        <v>13000</v>
      </c>
    </row>
    <row r="1027" spans="2:6" ht="21.75" customHeight="1">
      <c r="B1027" s="13" t="s">
        <v>205</v>
      </c>
      <c r="C1027" s="182">
        <v>150500</v>
      </c>
      <c r="D1027" s="14"/>
      <c r="E1027" s="183">
        <v>150500</v>
      </c>
      <c r="F1027" s="14">
        <f t="shared" si="35"/>
        <v>0</v>
      </c>
    </row>
    <row r="1028" spans="2:6" ht="21.75" customHeight="1">
      <c r="B1028" s="13" t="s">
        <v>206</v>
      </c>
      <c r="C1028" s="182">
        <v>14400</v>
      </c>
      <c r="D1028" s="14"/>
      <c r="E1028" s="183">
        <v>14400</v>
      </c>
      <c r="F1028" s="14">
        <f t="shared" si="35"/>
        <v>0</v>
      </c>
    </row>
    <row r="1029" spans="2:6" ht="21.75" customHeight="1">
      <c r="B1029" s="13" t="s">
        <v>168</v>
      </c>
      <c r="C1029" s="279"/>
      <c r="D1029" s="14">
        <v>7853</v>
      </c>
      <c r="E1029" s="183">
        <v>7853</v>
      </c>
      <c r="F1029" s="14">
        <f t="shared" si="35"/>
        <v>0</v>
      </c>
    </row>
    <row r="1030" spans="2:6" ht="21.75" customHeight="1">
      <c r="B1030" s="13" t="s">
        <v>223</v>
      </c>
      <c r="C1030" s="184"/>
      <c r="D1030" s="209">
        <v>25377</v>
      </c>
      <c r="E1030" s="209">
        <v>25377</v>
      </c>
      <c r="F1030" s="14">
        <f t="shared" si="35"/>
        <v>0</v>
      </c>
    </row>
    <row r="1031" spans="2:6" ht="21.75" customHeight="1">
      <c r="B1031" s="13" t="s">
        <v>224</v>
      </c>
      <c r="C1031" s="184"/>
      <c r="D1031" s="209">
        <v>25400</v>
      </c>
      <c r="E1031" s="209">
        <v>25400</v>
      </c>
      <c r="F1031" s="14">
        <f t="shared" si="35"/>
        <v>0</v>
      </c>
    </row>
    <row r="1032" spans="2:6" ht="21.75" customHeight="1">
      <c r="B1032" s="13" t="s">
        <v>225</v>
      </c>
      <c r="C1032" s="184"/>
      <c r="D1032" s="209">
        <v>42050</v>
      </c>
      <c r="E1032" s="209">
        <v>42050</v>
      </c>
      <c r="F1032" s="14">
        <f t="shared" si="35"/>
        <v>0</v>
      </c>
    </row>
    <row r="1033" spans="2:6" ht="21.75" customHeight="1">
      <c r="B1033" s="13" t="s">
        <v>226</v>
      </c>
      <c r="C1033" s="184"/>
      <c r="D1033" s="209">
        <v>25552</v>
      </c>
      <c r="E1033" s="209">
        <v>25552</v>
      </c>
      <c r="F1033" s="191">
        <f t="shared" si="35"/>
        <v>0</v>
      </c>
    </row>
    <row r="1034" spans="2:6" ht="21.75" customHeight="1" thickBot="1">
      <c r="B1034" s="208" t="s">
        <v>46</v>
      </c>
      <c r="C1034" s="15">
        <f>SUM(C1021:C1029)</f>
        <v>1701544.37</v>
      </c>
      <c r="D1034" s="15">
        <f>SUM(D1021:D1033)</f>
        <v>139577.59</v>
      </c>
      <c r="E1034" s="186">
        <f>SUM(E1021:E1033)</f>
        <v>401701.35</v>
      </c>
      <c r="F1034" s="192">
        <f>SUM(F1021:F1033)</f>
        <v>1439420.61</v>
      </c>
    </row>
    <row r="1035" ht="21.75" customHeight="1" thickTop="1"/>
    <row r="1036" spans="2:6" ht="21.75" customHeight="1">
      <c r="B1036" s="146" t="s">
        <v>18</v>
      </c>
      <c r="C1036" s="344" t="s">
        <v>625</v>
      </c>
      <c r="D1036" s="344"/>
      <c r="E1036" s="176"/>
      <c r="F1036" s="177"/>
    </row>
    <row r="1037" spans="2:6" ht="21.75" customHeight="1">
      <c r="B1037" s="9" t="s">
        <v>78</v>
      </c>
      <c r="C1037" s="178" t="s">
        <v>113</v>
      </c>
      <c r="D1037" s="9" t="s">
        <v>109</v>
      </c>
      <c r="E1037" s="9" t="s">
        <v>111</v>
      </c>
      <c r="F1037" s="178" t="s">
        <v>114</v>
      </c>
    </row>
    <row r="1038" spans="2:6" ht="21.75" customHeight="1">
      <c r="B1038" s="189" t="s">
        <v>210</v>
      </c>
      <c r="C1038" s="182">
        <v>1500</v>
      </c>
      <c r="D1038" s="190"/>
      <c r="E1038" s="182"/>
      <c r="F1038" s="14">
        <f aca="true" t="shared" si="36" ref="F1038:F1048">C1038-E1038</f>
        <v>1500</v>
      </c>
    </row>
    <row r="1039" spans="2:6" ht="21.75" customHeight="1">
      <c r="B1039" s="189" t="s">
        <v>211</v>
      </c>
      <c r="C1039" s="182">
        <v>1000</v>
      </c>
      <c r="D1039" s="190"/>
      <c r="E1039" s="182"/>
      <c r="F1039" s="14">
        <f t="shared" si="36"/>
        <v>1000</v>
      </c>
    </row>
    <row r="1040" spans="2:6" ht="21.75" customHeight="1">
      <c r="B1040" s="189" t="s">
        <v>213</v>
      </c>
      <c r="C1040" s="182">
        <v>0</v>
      </c>
      <c r="D1040" s="190"/>
      <c r="E1040" s="182"/>
      <c r="F1040" s="14">
        <f t="shared" si="36"/>
        <v>0</v>
      </c>
    </row>
    <row r="1041" spans="2:6" ht="21.75" customHeight="1">
      <c r="B1041" s="189" t="s">
        <v>214</v>
      </c>
      <c r="C1041" s="182">
        <v>0</v>
      </c>
      <c r="D1041" s="190"/>
      <c r="E1041" s="182"/>
      <c r="F1041" s="14">
        <f t="shared" si="36"/>
        <v>0</v>
      </c>
    </row>
    <row r="1042" spans="2:6" ht="21.75" customHeight="1">
      <c r="B1042" s="189" t="s">
        <v>215</v>
      </c>
      <c r="C1042" s="182">
        <v>0</v>
      </c>
      <c r="D1042" s="190"/>
      <c r="E1042" s="182"/>
      <c r="F1042" s="14">
        <f t="shared" si="36"/>
        <v>0</v>
      </c>
    </row>
    <row r="1043" spans="2:6" ht="21.75" customHeight="1">
      <c r="B1043" s="189" t="s">
        <v>187</v>
      </c>
      <c r="C1043" s="182">
        <v>164.5</v>
      </c>
      <c r="D1043" s="14"/>
      <c r="E1043" s="182"/>
      <c r="F1043" s="14">
        <f t="shared" si="36"/>
        <v>164.5</v>
      </c>
    </row>
    <row r="1044" spans="2:6" ht="21.75" customHeight="1">
      <c r="B1044" s="189" t="s">
        <v>187</v>
      </c>
      <c r="C1044" s="182"/>
      <c r="D1044" s="14"/>
      <c r="E1044" s="182"/>
      <c r="F1044" s="14">
        <f t="shared" si="36"/>
        <v>0</v>
      </c>
    </row>
    <row r="1045" spans="2:6" ht="21.75" customHeight="1">
      <c r="B1045" s="189" t="s">
        <v>218</v>
      </c>
      <c r="C1045" s="182"/>
      <c r="D1045" s="14"/>
      <c r="E1045" s="182"/>
      <c r="F1045" s="14">
        <f t="shared" si="36"/>
        <v>0</v>
      </c>
    </row>
    <row r="1046" spans="2:6" ht="21.75" customHeight="1">
      <c r="B1046" s="189" t="s">
        <v>219</v>
      </c>
      <c r="C1046" s="182"/>
      <c r="D1046" s="14"/>
      <c r="E1046" s="182"/>
      <c r="F1046" s="14">
        <f t="shared" si="36"/>
        <v>0</v>
      </c>
    </row>
    <row r="1047" spans="2:6" ht="21.75" customHeight="1">
      <c r="B1047" s="189" t="s">
        <v>220</v>
      </c>
      <c r="C1047" s="182"/>
      <c r="D1047" s="14"/>
      <c r="E1047" s="182"/>
      <c r="F1047" s="14">
        <f t="shared" si="36"/>
        <v>0</v>
      </c>
    </row>
    <row r="1048" spans="2:6" ht="21.75" customHeight="1">
      <c r="B1048" s="189" t="s">
        <v>221</v>
      </c>
      <c r="C1048" s="182"/>
      <c r="D1048" s="14"/>
      <c r="E1048" s="182"/>
      <c r="F1048" s="14">
        <f t="shared" si="36"/>
        <v>0</v>
      </c>
    </row>
    <row r="1049" spans="2:6" ht="21.75" customHeight="1" thickBot="1">
      <c r="B1049" s="185" t="s">
        <v>46</v>
      </c>
      <c r="C1049" s="15">
        <f>SUM(C1038:C1048)</f>
        <v>2664.5</v>
      </c>
      <c r="D1049" s="15">
        <f>SUM(D1043:D1047)</f>
        <v>0</v>
      </c>
      <c r="E1049" s="186">
        <f>SUM(E1038:E1048)</f>
        <v>0</v>
      </c>
      <c r="F1049" s="15">
        <f>SUM(F1038:F1048)</f>
        <v>2664.5</v>
      </c>
    </row>
    <row r="1050" spans="2:6" ht="21.75" customHeight="1" thickTop="1">
      <c r="B1050" s="145"/>
      <c r="D1050" s="182"/>
      <c r="E1050" s="182"/>
      <c r="F1050" s="194"/>
    </row>
    <row r="1051" ht="21.75" customHeight="1"/>
    <row r="1056" spans="2:6" ht="30" customHeight="1">
      <c r="B1056" s="8" t="s">
        <v>79</v>
      </c>
      <c r="C1056" s="344" t="s">
        <v>625</v>
      </c>
      <c r="D1056" s="344"/>
      <c r="E1056" s="193"/>
      <c r="F1056" s="194"/>
    </row>
    <row r="1057" spans="2:6" ht="28.5" customHeight="1">
      <c r="B1057" s="345" t="s">
        <v>78</v>
      </c>
      <c r="C1057" s="345"/>
      <c r="D1057" s="9" t="s">
        <v>113</v>
      </c>
      <c r="E1057" s="17" t="s">
        <v>109</v>
      </c>
      <c r="F1057" s="178" t="s">
        <v>114</v>
      </c>
    </row>
    <row r="1058" spans="2:6" ht="20.25" customHeight="1">
      <c r="B1058" s="195" t="s">
        <v>19</v>
      </c>
      <c r="C1058" s="196"/>
      <c r="D1058" s="188">
        <v>43866.13</v>
      </c>
      <c r="E1058" s="12">
        <v>1378.38</v>
      </c>
      <c r="F1058" s="204">
        <f>E1058+D1058</f>
        <v>45244.509999999995</v>
      </c>
    </row>
    <row r="1059" spans="2:6" ht="20.25" customHeight="1">
      <c r="B1059" s="197" t="s">
        <v>177</v>
      </c>
      <c r="C1059" s="198"/>
      <c r="D1059" s="188">
        <v>2000</v>
      </c>
      <c r="E1059" s="14">
        <v>3600</v>
      </c>
      <c r="F1059" s="204">
        <f>E1059+D1059</f>
        <v>5600</v>
      </c>
    </row>
    <row r="1060" spans="2:6" ht="20.25" customHeight="1">
      <c r="B1060" s="197" t="s">
        <v>172</v>
      </c>
      <c r="C1060" s="198"/>
      <c r="D1060" s="188">
        <v>27571</v>
      </c>
      <c r="E1060" s="14">
        <v>1500</v>
      </c>
      <c r="F1060" s="204">
        <f aca="true" t="shared" si="37" ref="F1060:F1084">E1060+D1060</f>
        <v>29071</v>
      </c>
    </row>
    <row r="1061" spans="2:6" ht="20.25" customHeight="1">
      <c r="B1061" s="197" t="s">
        <v>23</v>
      </c>
      <c r="C1061" s="198"/>
      <c r="D1061" s="188">
        <v>8540</v>
      </c>
      <c r="E1061" s="14">
        <v>33</v>
      </c>
      <c r="F1061" s="204">
        <f t="shared" si="37"/>
        <v>8573</v>
      </c>
    </row>
    <row r="1062" spans="2:6" ht="20.25" customHeight="1">
      <c r="B1062" s="197" t="s">
        <v>169</v>
      </c>
      <c r="C1062" s="198"/>
      <c r="D1062" s="188">
        <v>350</v>
      </c>
      <c r="E1062" s="14">
        <v>50</v>
      </c>
      <c r="F1062" s="204">
        <f t="shared" si="37"/>
        <v>400</v>
      </c>
    </row>
    <row r="1063" spans="2:6" ht="20.25" customHeight="1">
      <c r="B1063" s="197" t="s">
        <v>188</v>
      </c>
      <c r="C1063" s="198"/>
      <c r="D1063" s="188">
        <v>15929</v>
      </c>
      <c r="E1063" s="14"/>
      <c r="F1063" s="204">
        <f t="shared" si="37"/>
        <v>15929</v>
      </c>
    </row>
    <row r="1064" spans="2:6" ht="20.25" customHeight="1">
      <c r="B1064" s="197" t="s">
        <v>227</v>
      </c>
      <c r="C1064" s="198"/>
      <c r="D1064" s="188">
        <v>873</v>
      </c>
      <c r="E1064" s="14"/>
      <c r="F1064" s="204">
        <f t="shared" si="37"/>
        <v>873</v>
      </c>
    </row>
    <row r="1065" spans="2:6" ht="20.25" customHeight="1">
      <c r="B1065" s="236" t="s">
        <v>198</v>
      </c>
      <c r="C1065" s="198"/>
      <c r="D1065" s="188">
        <v>900</v>
      </c>
      <c r="E1065" s="14"/>
      <c r="F1065" s="204">
        <f t="shared" si="37"/>
        <v>900</v>
      </c>
    </row>
    <row r="1066" spans="2:6" ht="20.25" customHeight="1">
      <c r="B1066" s="197" t="s">
        <v>27</v>
      </c>
      <c r="C1066" s="198"/>
      <c r="D1066" s="188">
        <v>5200</v>
      </c>
      <c r="E1066" s="14"/>
      <c r="F1066" s="204">
        <f t="shared" si="37"/>
        <v>5200</v>
      </c>
    </row>
    <row r="1067" spans="2:6" ht="20.25" customHeight="1">
      <c r="B1067" s="197" t="s">
        <v>43</v>
      </c>
      <c r="C1067" s="198"/>
      <c r="D1067" s="188">
        <v>8269.4</v>
      </c>
      <c r="E1067" s="14">
        <v>37900</v>
      </c>
      <c r="F1067" s="204">
        <f t="shared" si="37"/>
        <v>46169.4</v>
      </c>
    </row>
    <row r="1068" spans="2:6" ht="20.25" customHeight="1">
      <c r="B1068" s="197" t="s">
        <v>174</v>
      </c>
      <c r="C1068" s="198"/>
      <c r="D1068" s="188">
        <v>23672.04</v>
      </c>
      <c r="E1068" s="14">
        <v>22525.05</v>
      </c>
      <c r="F1068" s="204">
        <f t="shared" si="37"/>
        <v>46197.09</v>
      </c>
    </row>
    <row r="1069" spans="2:6" ht="20.25" customHeight="1">
      <c r="B1069" s="197" t="s">
        <v>409</v>
      </c>
      <c r="C1069" s="198"/>
      <c r="D1069" s="188">
        <v>34593.86</v>
      </c>
      <c r="E1069" s="14">
        <v>10745.27</v>
      </c>
      <c r="F1069" s="204">
        <f t="shared" si="37"/>
        <v>45339.130000000005</v>
      </c>
    </row>
    <row r="1070" spans="2:6" ht="20.25" customHeight="1">
      <c r="B1070" s="197" t="s">
        <v>171</v>
      </c>
      <c r="C1070" s="198"/>
      <c r="D1070" s="188">
        <v>7608288.1</v>
      </c>
      <c r="E1070" s="14">
        <v>1580377.13</v>
      </c>
      <c r="F1070" s="204">
        <f t="shared" si="37"/>
        <v>9188665.23</v>
      </c>
    </row>
    <row r="1071" spans="2:6" ht="20.25" customHeight="1">
      <c r="B1071" s="197" t="s">
        <v>10</v>
      </c>
      <c r="C1071" s="198"/>
      <c r="D1071" s="188">
        <v>344495</v>
      </c>
      <c r="E1071" s="14">
        <v>37738</v>
      </c>
      <c r="F1071" s="204">
        <f t="shared" si="37"/>
        <v>382233</v>
      </c>
    </row>
    <row r="1072" spans="2:6" ht="20.25" customHeight="1">
      <c r="B1072" s="197" t="s">
        <v>176</v>
      </c>
      <c r="C1072" s="198"/>
      <c r="D1072" s="188">
        <v>356970.91</v>
      </c>
      <c r="E1072" s="14">
        <v>81376.31</v>
      </c>
      <c r="F1072" s="204">
        <f t="shared" si="37"/>
        <v>438347.22</v>
      </c>
    </row>
    <row r="1073" spans="2:6" ht="20.25" customHeight="1">
      <c r="B1073" s="197" t="s">
        <v>9</v>
      </c>
      <c r="C1073" s="198"/>
      <c r="D1073" s="188">
        <v>1383416.6</v>
      </c>
      <c r="E1073" s="14">
        <v>159840.87</v>
      </c>
      <c r="F1073" s="204">
        <f t="shared" si="37"/>
        <v>1543257.4700000002</v>
      </c>
    </row>
    <row r="1074" spans="2:6" ht="20.25" customHeight="1">
      <c r="B1074" s="197" t="s">
        <v>24</v>
      </c>
      <c r="C1074" s="198"/>
      <c r="D1074" s="188">
        <v>66902.92</v>
      </c>
      <c r="E1074" s="14">
        <v>13534.44</v>
      </c>
      <c r="F1074" s="204">
        <f t="shared" si="37"/>
        <v>80437.36</v>
      </c>
    </row>
    <row r="1075" spans="2:6" ht="20.25" customHeight="1">
      <c r="B1075" s="197" t="s">
        <v>20</v>
      </c>
      <c r="C1075" s="198"/>
      <c r="D1075" s="188">
        <v>664773.29</v>
      </c>
      <c r="E1075" s="14">
        <v>69188.4</v>
      </c>
      <c r="F1075" s="204">
        <f t="shared" si="37"/>
        <v>733961.6900000001</v>
      </c>
    </row>
    <row r="1076" spans="2:6" ht="20.25" customHeight="1">
      <c r="B1076" s="197" t="s">
        <v>21</v>
      </c>
      <c r="C1076" s="198"/>
      <c r="D1076" s="188">
        <v>1620105.38</v>
      </c>
      <c r="E1076" s="14">
        <v>148655.99</v>
      </c>
      <c r="F1076" s="204">
        <f t="shared" si="37"/>
        <v>1768761.3699999999</v>
      </c>
    </row>
    <row r="1077" spans="2:6" ht="20.25" customHeight="1">
      <c r="B1077" s="197" t="s">
        <v>22</v>
      </c>
      <c r="C1077" s="198"/>
      <c r="D1077" s="188">
        <v>22913.35</v>
      </c>
      <c r="E1077" s="14"/>
      <c r="F1077" s="204">
        <f t="shared" si="37"/>
        <v>22913.35</v>
      </c>
    </row>
    <row r="1078" spans="2:6" ht="20.25" customHeight="1">
      <c r="B1078" s="197" t="s">
        <v>28</v>
      </c>
      <c r="C1078" s="198"/>
      <c r="D1078" s="188">
        <v>2663261</v>
      </c>
      <c r="E1078" s="14"/>
      <c r="F1078" s="204">
        <f t="shared" si="37"/>
        <v>2663261</v>
      </c>
    </row>
    <row r="1079" spans="2:6" ht="20.25" customHeight="1">
      <c r="B1079" s="197" t="s">
        <v>393</v>
      </c>
      <c r="C1079" s="198"/>
      <c r="D1079" s="188">
        <v>4263200</v>
      </c>
      <c r="E1079" s="14"/>
      <c r="F1079" s="204">
        <f t="shared" si="37"/>
        <v>4263200</v>
      </c>
    </row>
    <row r="1080" spans="2:6" ht="20.25" customHeight="1">
      <c r="B1080" s="197" t="s">
        <v>394</v>
      </c>
      <c r="C1080" s="198"/>
      <c r="D1080" s="188">
        <v>700800</v>
      </c>
      <c r="E1080" s="14"/>
      <c r="F1080" s="204">
        <f t="shared" si="37"/>
        <v>700800</v>
      </c>
    </row>
    <row r="1081" spans="2:6" ht="20.25" customHeight="1">
      <c r="B1081" s="197" t="s">
        <v>395</v>
      </c>
      <c r="C1081" s="198"/>
      <c r="D1081" s="188">
        <v>24000</v>
      </c>
      <c r="E1081" s="14"/>
      <c r="F1081" s="204">
        <f t="shared" si="37"/>
        <v>24000</v>
      </c>
    </row>
    <row r="1082" spans="2:6" ht="20.25" customHeight="1">
      <c r="B1082" s="197" t="s">
        <v>396</v>
      </c>
      <c r="C1082" s="198"/>
      <c r="D1082" s="188">
        <v>474442</v>
      </c>
      <c r="E1082" s="14"/>
      <c r="F1082" s="204">
        <f t="shared" si="37"/>
        <v>474442</v>
      </c>
    </row>
    <row r="1083" spans="2:6" ht="20.25" customHeight="1">
      <c r="B1083" s="197" t="s">
        <v>402</v>
      </c>
      <c r="C1083" s="198"/>
      <c r="D1083" s="188">
        <v>100300</v>
      </c>
      <c r="E1083" s="14"/>
      <c r="F1083" s="204">
        <f t="shared" si="37"/>
        <v>100300</v>
      </c>
    </row>
    <row r="1084" spans="2:6" ht="20.25" customHeight="1">
      <c r="B1084" s="197" t="s">
        <v>397</v>
      </c>
      <c r="C1084" s="198"/>
      <c r="D1084" s="188">
        <v>113056</v>
      </c>
      <c r="E1084" s="14"/>
      <c r="F1084" s="204">
        <f t="shared" si="37"/>
        <v>113056</v>
      </c>
    </row>
    <row r="1085" spans="2:6" ht="20.25" customHeight="1">
      <c r="B1085" s="197" t="s">
        <v>398</v>
      </c>
      <c r="C1085" s="198"/>
      <c r="D1085" s="188">
        <v>289100</v>
      </c>
      <c r="E1085" s="14"/>
      <c r="F1085" s="204">
        <f>E1085+D1085</f>
        <v>289100</v>
      </c>
    </row>
    <row r="1086" spans="2:6" ht="20.25" customHeight="1">
      <c r="B1086" s="197" t="s">
        <v>399</v>
      </c>
      <c r="C1086" s="198"/>
      <c r="D1086" s="188">
        <v>471866</v>
      </c>
      <c r="E1086" s="14"/>
      <c r="F1086" s="204">
        <f>E1086+D1086</f>
        <v>471866</v>
      </c>
    </row>
    <row r="1087" spans="2:6" ht="20.25" customHeight="1">
      <c r="B1087" s="197" t="s">
        <v>400</v>
      </c>
      <c r="C1087" s="198"/>
      <c r="D1087" s="188">
        <v>985000</v>
      </c>
      <c r="E1087" s="14"/>
      <c r="F1087" s="204">
        <f>E1087+D1087</f>
        <v>985000</v>
      </c>
    </row>
    <row r="1088" spans="2:6" ht="20.25" customHeight="1">
      <c r="B1088" s="197" t="s">
        <v>626</v>
      </c>
      <c r="C1088" s="198"/>
      <c r="D1088" s="188"/>
      <c r="E1088" s="14">
        <v>27750</v>
      </c>
      <c r="F1088" s="204">
        <f>E1088+D1088</f>
        <v>27750</v>
      </c>
    </row>
    <row r="1089" spans="2:6" ht="20.25" customHeight="1">
      <c r="B1089" s="197" t="s">
        <v>627</v>
      </c>
      <c r="C1089" s="198"/>
      <c r="D1089" s="188"/>
      <c r="E1089" s="14">
        <v>87000</v>
      </c>
      <c r="F1089" s="204">
        <f>E1089+D1089</f>
        <v>87000</v>
      </c>
    </row>
    <row r="1090" spans="2:6" ht="20.25" customHeight="1">
      <c r="B1090" s="197" t="s">
        <v>628</v>
      </c>
      <c r="C1090" s="198"/>
      <c r="D1090" s="188"/>
      <c r="E1090" s="14">
        <v>87000</v>
      </c>
      <c r="F1090" s="204">
        <f>E1090+D1090</f>
        <v>87000</v>
      </c>
    </row>
    <row r="1091" spans="2:6" ht="20.25" customHeight="1">
      <c r="B1091" s="197"/>
      <c r="C1091" s="198"/>
      <c r="D1091" s="188"/>
      <c r="E1091" s="14"/>
      <c r="F1091" s="204"/>
    </row>
    <row r="1092" spans="2:6" ht="20.25" customHeight="1">
      <c r="B1092" s="197"/>
      <c r="C1092" s="198"/>
      <c r="D1092" s="188"/>
      <c r="E1092" s="14"/>
      <c r="F1092" s="204"/>
    </row>
    <row r="1093" spans="2:6" ht="20.25" customHeight="1" thickBot="1">
      <c r="B1093" s="199" t="s">
        <v>46</v>
      </c>
      <c r="C1093" s="200"/>
      <c r="D1093" s="16">
        <f>SUM(D1058:D1087)</f>
        <v>22324654.979999997</v>
      </c>
      <c r="E1093" s="201">
        <f>SUM(E1058:E1092)</f>
        <v>2370192.84</v>
      </c>
      <c r="F1093" s="202">
        <f>D1093+E1093</f>
        <v>24694847.819999997</v>
      </c>
    </row>
    <row r="1094" ht="20.25" customHeight="1" thickTop="1"/>
    <row r="1101" spans="2:6" ht="33" customHeight="1">
      <c r="B1101" s="146" t="s">
        <v>476</v>
      </c>
      <c r="C1101" s="344" t="s">
        <v>625</v>
      </c>
      <c r="D1101" s="344"/>
      <c r="E1101" s="176"/>
      <c r="F1101" s="177"/>
    </row>
    <row r="1102" spans="2:6" ht="20.25" customHeight="1">
      <c r="B1102" s="9" t="s">
        <v>78</v>
      </c>
      <c r="C1102" s="178" t="s">
        <v>113</v>
      </c>
      <c r="D1102" s="9" t="s">
        <v>109</v>
      </c>
      <c r="E1102" s="9" t="s">
        <v>111</v>
      </c>
      <c r="F1102" s="178" t="s">
        <v>114</v>
      </c>
    </row>
    <row r="1103" spans="2:6" ht="24" customHeight="1">
      <c r="B1103" s="189" t="s">
        <v>477</v>
      </c>
      <c r="C1103" s="182">
        <v>80000</v>
      </c>
      <c r="D1103" s="14">
        <v>10000</v>
      </c>
      <c r="E1103" s="182"/>
      <c r="F1103" s="14">
        <f>C1103-D1103</f>
        <v>70000</v>
      </c>
    </row>
    <row r="1104" spans="2:6" ht="24" customHeight="1">
      <c r="B1104" s="189" t="s">
        <v>481</v>
      </c>
      <c r="C1104" s="182">
        <v>100000</v>
      </c>
      <c r="D1104" s="13"/>
      <c r="E1104" s="14"/>
      <c r="F1104" s="14">
        <f aca="true" t="shared" si="38" ref="F1104:F1110">C1104-E1104+D1104</f>
        <v>100000</v>
      </c>
    </row>
    <row r="1105" spans="2:6" ht="24" customHeight="1">
      <c r="B1105" s="189" t="s">
        <v>482</v>
      </c>
      <c r="C1105" s="182">
        <v>100000</v>
      </c>
      <c r="D1105" s="142"/>
      <c r="E1105" s="14"/>
      <c r="F1105" s="14">
        <f t="shared" si="38"/>
        <v>100000</v>
      </c>
    </row>
    <row r="1106" spans="2:6" ht="24" customHeight="1">
      <c r="B1106" s="189" t="s">
        <v>484</v>
      </c>
      <c r="C1106" s="182">
        <v>100000</v>
      </c>
      <c r="D1106" s="13"/>
      <c r="E1106" s="14"/>
      <c r="F1106" s="14">
        <f t="shared" si="38"/>
        <v>100000</v>
      </c>
    </row>
    <row r="1107" spans="2:6" ht="24" customHeight="1">
      <c r="B1107" s="189" t="s">
        <v>483</v>
      </c>
      <c r="C1107" s="182">
        <v>100000</v>
      </c>
      <c r="D1107" s="13"/>
      <c r="E1107" s="14"/>
      <c r="F1107" s="14">
        <f t="shared" si="38"/>
        <v>100000</v>
      </c>
    </row>
    <row r="1108" spans="2:6" ht="24" customHeight="1">
      <c r="B1108" s="189" t="s">
        <v>485</v>
      </c>
      <c r="C1108" s="182">
        <v>100000</v>
      </c>
      <c r="D1108" s="13"/>
      <c r="E1108" s="14"/>
      <c r="F1108" s="14">
        <f t="shared" si="38"/>
        <v>100000</v>
      </c>
    </row>
    <row r="1109" spans="2:6" ht="24" customHeight="1">
      <c r="B1109" s="189" t="s">
        <v>486</v>
      </c>
      <c r="C1109" s="182">
        <v>100000</v>
      </c>
      <c r="D1109" s="13"/>
      <c r="E1109" s="14"/>
      <c r="F1109" s="14">
        <f t="shared" si="38"/>
        <v>100000</v>
      </c>
    </row>
    <row r="1110" spans="2:6" ht="24" customHeight="1">
      <c r="B1110" s="189" t="s">
        <v>487</v>
      </c>
      <c r="C1110" s="182">
        <v>100000</v>
      </c>
      <c r="D1110" s="14">
        <v>100000</v>
      </c>
      <c r="E1110" s="182">
        <v>100000</v>
      </c>
      <c r="F1110" s="14">
        <f t="shared" si="38"/>
        <v>100000</v>
      </c>
    </row>
    <row r="1111" spans="2:6" ht="24" customHeight="1">
      <c r="B1111" s="189" t="s">
        <v>577</v>
      </c>
      <c r="C1111" s="182">
        <v>100000</v>
      </c>
      <c r="D1111" s="14"/>
      <c r="E1111" s="182">
        <v>0</v>
      </c>
      <c r="F1111" s="14">
        <v>100000</v>
      </c>
    </row>
    <row r="1112" spans="2:6" ht="24" customHeight="1">
      <c r="B1112" s="13" t="s">
        <v>591</v>
      </c>
      <c r="C1112" s="182"/>
      <c r="D1112" s="14"/>
      <c r="E1112" s="182">
        <v>50000</v>
      </c>
      <c r="F1112" s="14">
        <v>50000</v>
      </c>
    </row>
    <row r="1113" spans="2:6" ht="24" customHeight="1">
      <c r="B1113" s="13" t="s">
        <v>592</v>
      </c>
      <c r="C1113" s="182"/>
      <c r="D1113" s="14"/>
      <c r="E1113" s="182">
        <v>50000</v>
      </c>
      <c r="F1113" s="14">
        <v>50000</v>
      </c>
    </row>
    <row r="1114" spans="2:6" ht="20.25" customHeight="1">
      <c r="B1114" s="189"/>
      <c r="C1114" s="182"/>
      <c r="D1114" s="14"/>
      <c r="E1114" s="182"/>
      <c r="F1114" s="14">
        <f>C1114-E1114</f>
        <v>0</v>
      </c>
    </row>
    <row r="1115" spans="2:6" ht="30" customHeight="1" thickBot="1">
      <c r="B1115" s="185" t="s">
        <v>46</v>
      </c>
      <c r="C1115" s="15">
        <f>SUM(C1103:C1114)</f>
        <v>880000</v>
      </c>
      <c r="D1115" s="15">
        <f>SUM(D1103:D1114)</f>
        <v>110000</v>
      </c>
      <c r="E1115" s="186">
        <f>SUM(E1103:E1114)</f>
        <v>200000</v>
      </c>
      <c r="F1115" s="178">
        <f>SUM(F1103:F1114)</f>
        <v>970000</v>
      </c>
    </row>
    <row r="1116" ht="20.25" customHeight="1" thickTop="1"/>
  </sheetData>
  <sheetProtection/>
  <mergeCells count="64">
    <mergeCell ref="B1017:F1017"/>
    <mergeCell ref="C1019:D1019"/>
    <mergeCell ref="C1036:D1036"/>
    <mergeCell ref="C1056:D1056"/>
    <mergeCell ref="B1057:C1057"/>
    <mergeCell ref="C1101:D1101"/>
    <mergeCell ref="C613:D613"/>
    <mergeCell ref="C395:D395"/>
    <mergeCell ref="C208:D208"/>
    <mergeCell ref="C229:D229"/>
    <mergeCell ref="C247:D247"/>
    <mergeCell ref="B166:C166"/>
    <mergeCell ref="B326:C326"/>
    <mergeCell ref="C414:D414"/>
    <mergeCell ref="B372:F372"/>
    <mergeCell ref="C374:D374"/>
    <mergeCell ref="C106:D106"/>
    <mergeCell ref="C147:D147"/>
    <mergeCell ref="C165:D165"/>
    <mergeCell ref="B206:F206"/>
    <mergeCell ref="C65:D65"/>
    <mergeCell ref="B415:C415"/>
    <mergeCell ref="B284:F284"/>
    <mergeCell ref="C286:D286"/>
    <mergeCell ref="C306:D306"/>
    <mergeCell ref="C325:D325"/>
    <mergeCell ref="B83:F83"/>
    <mergeCell ref="B124:F124"/>
    <mergeCell ref="C126:D126"/>
    <mergeCell ref="B248:C248"/>
    <mergeCell ref="C85:D85"/>
    <mergeCell ref="B1:F1"/>
    <mergeCell ref="C3:D3"/>
    <mergeCell ref="C44:D44"/>
    <mergeCell ref="C23:D23"/>
    <mergeCell ref="B42:F42"/>
    <mergeCell ref="B530:F530"/>
    <mergeCell ref="C532:D532"/>
    <mergeCell ref="C553:D553"/>
    <mergeCell ref="C572:D572"/>
    <mergeCell ref="B573:C573"/>
    <mergeCell ref="B449:F449"/>
    <mergeCell ref="C451:D451"/>
    <mergeCell ref="C472:D472"/>
    <mergeCell ref="C491:D491"/>
    <mergeCell ref="B492:C492"/>
    <mergeCell ref="B651:F651"/>
    <mergeCell ref="C653:D653"/>
    <mergeCell ref="C674:D674"/>
    <mergeCell ref="C693:D693"/>
    <mergeCell ref="B694:C694"/>
    <mergeCell ref="C734:D734"/>
    <mergeCell ref="B771:F771"/>
    <mergeCell ref="C773:D773"/>
    <mergeCell ref="C794:D794"/>
    <mergeCell ref="C813:D813"/>
    <mergeCell ref="B814:C814"/>
    <mergeCell ref="C854:D854"/>
    <mergeCell ref="B894:F894"/>
    <mergeCell ref="C896:D896"/>
    <mergeCell ref="C917:D917"/>
    <mergeCell ref="C936:D936"/>
    <mergeCell ref="B937:C937"/>
    <mergeCell ref="C977:D977"/>
  </mergeCells>
  <printOptions/>
  <pageMargins left="0.5511811023622047" right="0" top="0.4" bottom="0.22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2"/>
  <sheetViews>
    <sheetView view="pageBreakPreview" zoomScaleNormal="87" zoomScaleSheetLayoutView="100" zoomScalePageLayoutView="0" workbookViewId="0" topLeftCell="A937">
      <selection activeCell="A937" sqref="A937:C937"/>
    </sheetView>
  </sheetViews>
  <sheetFormatPr defaultColWidth="9.140625" defaultRowHeight="23.25" customHeight="1"/>
  <cols>
    <col min="1" max="1" width="20.00390625" style="19" customWidth="1"/>
    <col min="2" max="2" width="19.28125" style="19" customWidth="1"/>
    <col min="3" max="3" width="20.00390625" style="19" customWidth="1"/>
    <col min="4" max="4" width="9.140625" style="19" customWidth="1"/>
    <col min="5" max="5" width="9.421875" style="19" customWidth="1"/>
    <col min="6" max="6" width="10.00390625" style="19" customWidth="1"/>
    <col min="7" max="7" width="10.421875" style="19" customWidth="1"/>
    <col min="8" max="8" width="11.00390625" style="19" customWidth="1"/>
    <col min="9" max="9" width="21.28125" style="19" customWidth="1"/>
    <col min="10" max="10" width="15.8515625" style="19" customWidth="1"/>
    <col min="11" max="11" width="14.8515625" style="19" customWidth="1"/>
    <col min="12" max="12" width="17.57421875" style="19" customWidth="1"/>
    <col min="13" max="13" width="13.8515625" style="19" customWidth="1"/>
    <col min="14" max="16" width="9.140625" style="19" customWidth="1"/>
    <col min="17" max="17" width="19.28125" style="19" customWidth="1"/>
    <col min="18" max="16384" width="9.140625" style="19" customWidth="1"/>
  </cols>
  <sheetData>
    <row r="1" spans="1:9" ht="23.25" customHeight="1">
      <c r="A1" s="367" t="s">
        <v>132</v>
      </c>
      <c r="B1" s="367"/>
      <c r="C1" s="367"/>
      <c r="D1" s="367"/>
      <c r="E1" s="367"/>
      <c r="F1" s="367"/>
      <c r="G1" s="367"/>
      <c r="H1" s="367"/>
      <c r="I1" s="367"/>
    </row>
    <row r="2" spans="1:9" ht="23.25" customHeight="1">
      <c r="A2" s="367" t="s">
        <v>14</v>
      </c>
      <c r="B2" s="367"/>
      <c r="C2" s="367"/>
      <c r="D2" s="367"/>
      <c r="E2" s="367"/>
      <c r="F2" s="367"/>
      <c r="G2" s="367"/>
      <c r="H2" s="367"/>
      <c r="I2" s="367"/>
    </row>
    <row r="3" spans="1:9" ht="26.25" customHeight="1">
      <c r="A3" s="20"/>
      <c r="B3" s="20"/>
      <c r="C3" s="18"/>
      <c r="D3" s="18"/>
      <c r="E3" s="18"/>
      <c r="F3" s="18"/>
      <c r="G3" s="18"/>
      <c r="H3" s="367" t="s">
        <v>199</v>
      </c>
      <c r="I3" s="367"/>
    </row>
    <row r="4" spans="1:9" ht="23.25" customHeight="1">
      <c r="A4" s="371" t="s">
        <v>102</v>
      </c>
      <c r="B4" s="371"/>
      <c r="C4" s="371"/>
      <c r="D4" s="371"/>
      <c r="E4" s="371"/>
      <c r="F4" s="371"/>
      <c r="G4" s="371"/>
      <c r="H4" s="371"/>
      <c r="I4" s="371"/>
    </row>
    <row r="5" spans="1:9" ht="23.25" customHeight="1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23.25" customHeight="1" thickBot="1">
      <c r="A6" s="355" t="s">
        <v>84</v>
      </c>
      <c r="B6" s="356"/>
      <c r="C6" s="357"/>
      <c r="D6" s="358" t="s">
        <v>78</v>
      </c>
      <c r="E6" s="359"/>
      <c r="F6" s="359"/>
      <c r="G6" s="360"/>
      <c r="H6" s="21" t="s">
        <v>86</v>
      </c>
      <c r="I6" s="22" t="s">
        <v>88</v>
      </c>
    </row>
    <row r="7" spans="1:9" ht="23.25" customHeight="1">
      <c r="A7" s="21" t="s">
        <v>39</v>
      </c>
      <c r="B7" s="21"/>
      <c r="C7" s="21" t="s">
        <v>85</v>
      </c>
      <c r="D7" s="361"/>
      <c r="E7" s="362"/>
      <c r="F7" s="362"/>
      <c r="G7" s="363"/>
      <c r="H7" s="23" t="s">
        <v>87</v>
      </c>
      <c r="I7" s="21" t="s">
        <v>85</v>
      </c>
    </row>
    <row r="8" spans="1:9" ht="23.25" customHeight="1" thickBot="1">
      <c r="A8" s="24" t="s">
        <v>40</v>
      </c>
      <c r="B8" s="24"/>
      <c r="C8" s="24" t="s">
        <v>40</v>
      </c>
      <c r="D8" s="364"/>
      <c r="E8" s="365"/>
      <c r="F8" s="365"/>
      <c r="G8" s="366"/>
      <c r="H8" s="25"/>
      <c r="I8" s="24" t="s">
        <v>40</v>
      </c>
    </row>
    <row r="9" spans="1:9" ht="23.25" customHeight="1">
      <c r="A9" s="26"/>
      <c r="B9" s="26"/>
      <c r="C9" s="27">
        <v>11291926.49</v>
      </c>
      <c r="D9" s="28" t="s">
        <v>99</v>
      </c>
      <c r="E9" s="29"/>
      <c r="F9" s="29"/>
      <c r="G9" s="30"/>
      <c r="H9" s="31"/>
      <c r="I9" s="205">
        <v>11291926.49</v>
      </c>
    </row>
    <row r="10" spans="1:9" ht="23.25" customHeight="1">
      <c r="A10" s="26"/>
      <c r="B10" s="26"/>
      <c r="C10" s="32"/>
      <c r="D10" s="33" t="s">
        <v>89</v>
      </c>
      <c r="E10" s="34"/>
      <c r="F10" s="34"/>
      <c r="G10" s="35"/>
      <c r="H10" s="37"/>
      <c r="I10" s="39"/>
    </row>
    <row r="11" spans="1:9" ht="23.25" customHeight="1">
      <c r="A11" s="36">
        <v>58000</v>
      </c>
      <c r="B11" s="36"/>
      <c r="C11" s="36">
        <v>0</v>
      </c>
      <c r="D11" s="37" t="s">
        <v>41</v>
      </c>
      <c r="E11" s="34"/>
      <c r="F11" s="34"/>
      <c r="G11" s="35"/>
      <c r="H11" s="38">
        <v>411000</v>
      </c>
      <c r="I11" s="39">
        <v>0</v>
      </c>
    </row>
    <row r="12" spans="1:9" ht="23.25" customHeight="1">
      <c r="A12" s="36">
        <v>26000</v>
      </c>
      <c r="B12" s="36"/>
      <c r="C12" s="36">
        <v>1636.4</v>
      </c>
      <c r="D12" s="37" t="s">
        <v>90</v>
      </c>
      <c r="E12" s="34"/>
      <c r="F12" s="34"/>
      <c r="G12" s="35"/>
      <c r="H12" s="38">
        <v>412000</v>
      </c>
      <c r="I12" s="36">
        <f>1217+400+19.4</f>
        <v>1636.4</v>
      </c>
    </row>
    <row r="13" spans="1:9" ht="23.25" customHeight="1">
      <c r="A13" s="36">
        <v>70000</v>
      </c>
      <c r="B13" s="36"/>
      <c r="C13" s="36">
        <v>0</v>
      </c>
      <c r="D13" s="37" t="s">
        <v>42</v>
      </c>
      <c r="E13" s="34"/>
      <c r="F13" s="34"/>
      <c r="G13" s="35"/>
      <c r="H13" s="38">
        <v>413000</v>
      </c>
      <c r="I13" s="36"/>
    </row>
    <row r="14" spans="1:9" ht="23.25" customHeight="1">
      <c r="A14" s="36">
        <v>41000</v>
      </c>
      <c r="B14" s="36"/>
      <c r="C14" s="36">
        <v>819.4</v>
      </c>
      <c r="D14" s="37" t="s">
        <v>43</v>
      </c>
      <c r="E14" s="34"/>
      <c r="F14" s="34"/>
      <c r="G14" s="35"/>
      <c r="H14" s="38">
        <v>415000</v>
      </c>
      <c r="I14" s="39">
        <f>119.4+700</f>
        <v>819.4</v>
      </c>
    </row>
    <row r="15" spans="1:9" ht="23.25" customHeight="1">
      <c r="A15" s="36">
        <v>13150500</v>
      </c>
      <c r="B15" s="36"/>
      <c r="C15" s="36">
        <v>788344.77</v>
      </c>
      <c r="D15" s="37" t="s">
        <v>44</v>
      </c>
      <c r="E15" s="34"/>
      <c r="F15" s="34"/>
      <c r="G15" s="35"/>
      <c r="H15" s="40">
        <v>420000</v>
      </c>
      <c r="I15" s="39">
        <f>788344.77</f>
        <v>788344.77</v>
      </c>
    </row>
    <row r="16" spans="1:9" ht="23.25" customHeight="1">
      <c r="A16" s="36">
        <v>14304500</v>
      </c>
      <c r="B16" s="36"/>
      <c r="C16" s="36">
        <v>3261953</v>
      </c>
      <c r="D16" s="37" t="s">
        <v>101</v>
      </c>
      <c r="E16" s="34"/>
      <c r="F16" s="34"/>
      <c r="G16" s="35"/>
      <c r="H16" s="40">
        <v>430000</v>
      </c>
      <c r="I16" s="39">
        <f>1331630+1065800+175200+6000+100300+103860+28264+76700+253000+121199</f>
        <v>3261953</v>
      </c>
    </row>
    <row r="17" spans="1:9" ht="23.25" customHeight="1" thickBot="1">
      <c r="A17" s="41">
        <f>SUM(A11:A16)</f>
        <v>27650000</v>
      </c>
      <c r="B17" s="41"/>
      <c r="C17" s="42">
        <f>SUM(C11:C16)</f>
        <v>4052753.5700000003</v>
      </c>
      <c r="D17" s="37"/>
      <c r="E17" s="34"/>
      <c r="F17" s="34"/>
      <c r="G17" s="35"/>
      <c r="H17" s="40"/>
      <c r="I17" s="41">
        <f>SUM(I11:I16)</f>
        <v>4052753.5700000003</v>
      </c>
    </row>
    <row r="18" spans="1:9" ht="23.25" customHeight="1" thickTop="1">
      <c r="A18" s="36"/>
      <c r="B18" s="36"/>
      <c r="C18" s="36"/>
      <c r="D18" s="33" t="s">
        <v>100</v>
      </c>
      <c r="E18" s="34"/>
      <c r="F18" s="34"/>
      <c r="G18" s="35"/>
      <c r="H18" s="40">
        <v>440000</v>
      </c>
      <c r="I18" s="36"/>
    </row>
    <row r="19" spans="1:9" ht="23.25" customHeight="1">
      <c r="A19" s="26"/>
      <c r="B19" s="26"/>
      <c r="C19" s="43">
        <v>0</v>
      </c>
      <c r="D19" s="44" t="s">
        <v>38</v>
      </c>
      <c r="E19" s="45"/>
      <c r="F19" s="34"/>
      <c r="G19" s="35"/>
      <c r="H19" s="40"/>
      <c r="I19" s="46">
        <v>0</v>
      </c>
    </row>
    <row r="20" spans="1:9" ht="23.25" customHeight="1">
      <c r="A20" s="26"/>
      <c r="B20" s="26"/>
      <c r="C20" s="43">
        <v>208413.5</v>
      </c>
      <c r="D20" s="44" t="s">
        <v>170</v>
      </c>
      <c r="E20" s="45"/>
      <c r="F20" s="34"/>
      <c r="G20" s="47"/>
      <c r="H20" s="40"/>
      <c r="I20" s="48">
        <f>5599.5+7213+81086+63100+29388+22027</f>
        <v>208413.5</v>
      </c>
    </row>
    <row r="21" spans="1:9" ht="23.25" customHeight="1">
      <c r="A21" s="26"/>
      <c r="B21" s="26"/>
      <c r="C21" s="43">
        <v>443166</v>
      </c>
      <c r="D21" s="44" t="s">
        <v>103</v>
      </c>
      <c r="E21" s="45"/>
      <c r="F21" s="34"/>
      <c r="G21" s="35"/>
      <c r="H21" s="49"/>
      <c r="I21" s="48">
        <f>440600+2566</f>
        <v>443166</v>
      </c>
    </row>
    <row r="22" spans="1:9" ht="23.25" customHeight="1">
      <c r="A22" s="26"/>
      <c r="B22" s="26"/>
      <c r="C22" s="43">
        <v>0</v>
      </c>
      <c r="D22" s="44" t="s">
        <v>105</v>
      </c>
      <c r="E22" s="45"/>
      <c r="F22" s="34"/>
      <c r="G22" s="35"/>
      <c r="H22" s="40"/>
      <c r="I22" s="48">
        <v>0</v>
      </c>
    </row>
    <row r="23" spans="1:9" ht="23.25" customHeight="1">
      <c r="A23" s="26"/>
      <c r="B23" s="26"/>
      <c r="C23" s="43"/>
      <c r="D23" s="44"/>
      <c r="E23" s="45"/>
      <c r="F23" s="34"/>
      <c r="G23" s="35"/>
      <c r="H23" s="40"/>
      <c r="I23" s="48"/>
    </row>
    <row r="24" spans="1:9" ht="23.25" customHeight="1">
      <c r="A24" s="26"/>
      <c r="B24" s="26"/>
      <c r="C24" s="43"/>
      <c r="D24" s="44"/>
      <c r="E24" s="45"/>
      <c r="F24" s="34"/>
      <c r="G24" s="35"/>
      <c r="H24" s="50"/>
      <c r="I24" s="48"/>
    </row>
    <row r="25" spans="1:9" ht="23.25" customHeight="1" thickBot="1">
      <c r="A25" s="26"/>
      <c r="B25" s="26"/>
      <c r="C25" s="52">
        <f>SUM(C19:C24)</f>
        <v>651579.5</v>
      </c>
      <c r="D25" s="37"/>
      <c r="E25" s="34"/>
      <c r="F25" s="34"/>
      <c r="G25" s="34"/>
      <c r="H25" s="53"/>
      <c r="I25" s="54">
        <f>SUM(I18:I24)</f>
        <v>651579.5</v>
      </c>
    </row>
    <row r="26" spans="1:9" ht="23.25" customHeight="1" thickBot="1">
      <c r="A26" s="55">
        <f>SUM(A17)</f>
        <v>27650000</v>
      </c>
      <c r="B26" s="211"/>
      <c r="C26" s="41">
        <f>SUM(C17+C25)</f>
        <v>4704333.07</v>
      </c>
      <c r="D26" s="37"/>
      <c r="E26" s="34"/>
      <c r="F26" s="56" t="s">
        <v>106</v>
      </c>
      <c r="G26" s="34"/>
      <c r="H26" s="35"/>
      <c r="I26" s="41">
        <f>SUM(I17+I25)</f>
        <v>4704333.07</v>
      </c>
    </row>
    <row r="27" spans="1:9" ht="23.25" customHeight="1">
      <c r="A27" s="57"/>
      <c r="B27" s="57"/>
      <c r="C27" s="57"/>
      <c r="D27" s="34"/>
      <c r="E27" s="34"/>
      <c r="F27" s="56"/>
      <c r="G27" s="34"/>
      <c r="H27" s="34"/>
      <c r="I27" s="57"/>
    </row>
    <row r="28" spans="1:9" ht="23.25" customHeight="1">
      <c r="A28" s="57"/>
      <c r="B28" s="57"/>
      <c r="C28" s="57"/>
      <c r="D28" s="34"/>
      <c r="E28" s="34"/>
      <c r="F28" s="56"/>
      <c r="G28" s="34"/>
      <c r="H28" s="34"/>
      <c r="I28" s="57"/>
    </row>
    <row r="29" spans="1:9" ht="23.25" customHeight="1">
      <c r="A29" s="57"/>
      <c r="B29" s="57"/>
      <c r="C29" s="57"/>
      <c r="D29" s="34"/>
      <c r="E29" s="34"/>
      <c r="F29" s="56"/>
      <c r="G29" s="34"/>
      <c r="H29" s="34"/>
      <c r="I29" s="57"/>
    </row>
    <row r="30" spans="1:9" ht="23.25" customHeight="1">
      <c r="A30" s="57"/>
      <c r="B30" s="57"/>
      <c r="C30" s="57"/>
      <c r="D30" s="34"/>
      <c r="E30" s="34"/>
      <c r="F30" s="56"/>
      <c r="G30" s="34"/>
      <c r="H30" s="34"/>
      <c r="I30" s="57"/>
    </row>
    <row r="31" spans="1:9" ht="23.25" customHeight="1">
      <c r="A31" s="57"/>
      <c r="B31" s="57"/>
      <c r="C31" s="57"/>
      <c r="D31" s="34"/>
      <c r="E31" s="34"/>
      <c r="F31" s="56"/>
      <c r="G31" s="34"/>
      <c r="H31" s="34"/>
      <c r="I31" s="57"/>
    </row>
    <row r="32" spans="1:9" ht="23.25" customHeight="1">
      <c r="A32" s="57"/>
      <c r="B32" s="57"/>
      <c r="C32" s="57"/>
      <c r="D32" s="34"/>
      <c r="E32" s="34"/>
      <c r="F32" s="56"/>
      <c r="G32" s="34"/>
      <c r="H32" s="34"/>
      <c r="I32" s="57"/>
    </row>
    <row r="33" spans="1:9" ht="23.25" customHeight="1">
      <c r="A33" s="57"/>
      <c r="B33" s="57"/>
      <c r="C33" s="57"/>
      <c r="D33" s="34"/>
      <c r="E33" s="34"/>
      <c r="F33" s="56"/>
      <c r="G33" s="34"/>
      <c r="H33" s="34"/>
      <c r="I33" s="57"/>
    </row>
    <row r="34" spans="1:9" ht="23.25" customHeight="1">
      <c r="A34" s="57"/>
      <c r="B34" s="57"/>
      <c r="C34" s="57"/>
      <c r="D34" s="34"/>
      <c r="E34" s="34"/>
      <c r="F34" s="56"/>
      <c r="G34" s="34"/>
      <c r="H34" s="34"/>
      <c r="I34" s="57"/>
    </row>
    <row r="35" spans="1:9" ht="23.25" customHeight="1">
      <c r="A35" s="57"/>
      <c r="B35" s="57"/>
      <c r="C35" s="57"/>
      <c r="D35" s="34"/>
      <c r="E35" s="34"/>
      <c r="F35" s="56"/>
      <c r="G35" s="34"/>
      <c r="H35" s="34"/>
      <c r="I35" s="57"/>
    </row>
    <row r="36" spans="1:9" ht="23.25" customHeight="1">
      <c r="A36" s="57"/>
      <c r="B36" s="57"/>
      <c r="C36" s="57"/>
      <c r="D36" s="34"/>
      <c r="E36" s="34"/>
      <c r="F36" s="56"/>
      <c r="G36" s="34"/>
      <c r="H36" s="34"/>
      <c r="I36" s="57"/>
    </row>
    <row r="37" spans="1:9" ht="23.25" customHeight="1">
      <c r="A37" s="57"/>
      <c r="B37" s="57"/>
      <c r="C37" s="57"/>
      <c r="D37" s="34"/>
      <c r="E37" s="34"/>
      <c r="F37" s="56"/>
      <c r="G37" s="34"/>
      <c r="H37" s="34"/>
      <c r="I37" s="57"/>
    </row>
    <row r="38" spans="1:9" ht="23.25" customHeight="1">
      <c r="A38" s="57"/>
      <c r="B38" s="57"/>
      <c r="C38" s="57"/>
      <c r="D38" s="34"/>
      <c r="E38" s="34"/>
      <c r="F38" s="56"/>
      <c r="G38" s="34"/>
      <c r="H38" s="34"/>
      <c r="I38" s="57"/>
    </row>
    <row r="39" spans="1:9" ht="23.25" customHeight="1">
      <c r="A39" s="57"/>
      <c r="B39" s="57"/>
      <c r="C39" s="57"/>
      <c r="D39" s="34"/>
      <c r="E39" s="34"/>
      <c r="F39" s="56"/>
      <c r="G39" s="34"/>
      <c r="H39" s="34"/>
      <c r="I39" s="57"/>
    </row>
    <row r="40" spans="1:9" ht="23.25" customHeight="1">
      <c r="A40" s="57"/>
      <c r="B40" s="57"/>
      <c r="C40" s="57"/>
      <c r="D40" s="34"/>
      <c r="E40" s="34"/>
      <c r="F40" s="56"/>
      <c r="G40" s="34"/>
      <c r="H40" s="34"/>
      <c r="I40" s="57"/>
    </row>
    <row r="41" spans="1:9" ht="23.25" customHeight="1">
      <c r="A41" s="57"/>
      <c r="B41" s="57"/>
      <c r="C41" s="57"/>
      <c r="D41" s="34"/>
      <c r="E41" s="34"/>
      <c r="F41" s="56"/>
      <c r="G41" s="34"/>
      <c r="H41" s="34"/>
      <c r="I41" s="57"/>
    </row>
    <row r="42" spans="1:9" ht="23.25" customHeight="1">
      <c r="A42" s="57"/>
      <c r="B42" s="57"/>
      <c r="C42" s="57"/>
      <c r="D42" s="34"/>
      <c r="E42" s="34"/>
      <c r="F42" s="56"/>
      <c r="G42" s="34"/>
      <c r="H42" s="34"/>
      <c r="I42" s="57"/>
    </row>
    <row r="43" spans="1:9" ht="23.25" customHeight="1">
      <c r="A43" s="57"/>
      <c r="B43" s="57"/>
      <c r="C43" s="57"/>
      <c r="D43" s="34"/>
      <c r="E43" s="34"/>
      <c r="F43" s="56"/>
      <c r="G43" s="34"/>
      <c r="H43" s="34"/>
      <c r="I43" s="57"/>
    </row>
    <row r="44" spans="1:9" ht="23.25" customHeight="1">
      <c r="A44" s="57"/>
      <c r="B44" s="57"/>
      <c r="C44" s="57"/>
      <c r="D44" s="34"/>
      <c r="E44" s="34"/>
      <c r="F44" s="56"/>
      <c r="G44" s="34"/>
      <c r="H44" s="34"/>
      <c r="I44" s="57"/>
    </row>
    <row r="45" spans="1:9" ht="23.25" customHeight="1">
      <c r="A45" s="57"/>
      <c r="B45" s="57"/>
      <c r="C45" s="57"/>
      <c r="D45" s="34"/>
      <c r="E45" s="34"/>
      <c r="F45" s="56"/>
      <c r="G45" s="34"/>
      <c r="H45" s="34"/>
      <c r="I45" s="57"/>
    </row>
    <row r="46" spans="1:9" ht="23.25" customHeight="1">
      <c r="A46" s="57"/>
      <c r="B46" s="57"/>
      <c r="C46" s="57"/>
      <c r="D46" s="34"/>
      <c r="E46" s="34"/>
      <c r="F46" s="56"/>
      <c r="G46" s="34"/>
      <c r="H46" s="34"/>
      <c r="I46" s="57"/>
    </row>
    <row r="47" spans="1:9" ht="23.25" customHeight="1">
      <c r="A47" s="57"/>
      <c r="B47" s="57"/>
      <c r="C47" s="57"/>
      <c r="D47" s="34"/>
      <c r="E47" s="34"/>
      <c r="F47" s="56"/>
      <c r="G47" s="34"/>
      <c r="H47" s="34"/>
      <c r="I47" s="57"/>
    </row>
    <row r="48" spans="1:9" ht="23.25" customHeight="1">
      <c r="A48" s="57"/>
      <c r="B48" s="57"/>
      <c r="C48" s="57"/>
      <c r="D48" s="34"/>
      <c r="E48" s="34"/>
      <c r="F48" s="56"/>
      <c r="G48" s="34"/>
      <c r="H48" s="34"/>
      <c r="I48" s="57"/>
    </row>
    <row r="49" spans="1:9" ht="23.25" customHeight="1">
      <c r="A49" s="333">
        <v>2</v>
      </c>
      <c r="B49" s="333"/>
      <c r="C49" s="333"/>
      <c r="D49" s="333"/>
      <c r="E49" s="333"/>
      <c r="F49" s="333"/>
      <c r="G49" s="333"/>
      <c r="H49" s="333"/>
      <c r="I49" s="333"/>
    </row>
    <row r="50" spans="1:9" ht="23.25" customHeight="1">
      <c r="A50" s="368" t="s">
        <v>91</v>
      </c>
      <c r="B50" s="369"/>
      <c r="C50" s="370"/>
      <c r="D50" s="58"/>
      <c r="E50" s="58"/>
      <c r="F50" s="58"/>
      <c r="G50" s="58"/>
      <c r="H50" s="59" t="s">
        <v>86</v>
      </c>
      <c r="I50" s="60" t="s">
        <v>88</v>
      </c>
    </row>
    <row r="51" spans="1:9" ht="23.25" customHeight="1">
      <c r="A51" s="61" t="s">
        <v>39</v>
      </c>
      <c r="B51" s="61"/>
      <c r="C51" s="59" t="s">
        <v>85</v>
      </c>
      <c r="D51" s="353" t="s">
        <v>78</v>
      </c>
      <c r="E51" s="353"/>
      <c r="F51" s="353"/>
      <c r="G51" s="353"/>
      <c r="H51" s="62" t="s">
        <v>87</v>
      </c>
      <c r="I51" s="59" t="s">
        <v>85</v>
      </c>
    </row>
    <row r="52" spans="1:9" ht="23.25" customHeight="1">
      <c r="A52" s="63" t="s">
        <v>40</v>
      </c>
      <c r="B52" s="63"/>
      <c r="C52" s="64" t="s">
        <v>40</v>
      </c>
      <c r="D52" s="65"/>
      <c r="E52" s="65"/>
      <c r="F52" s="65"/>
      <c r="G52" s="65"/>
      <c r="H52" s="66"/>
      <c r="I52" s="64" t="s">
        <v>40</v>
      </c>
    </row>
    <row r="53" spans="1:9" ht="23.25" customHeight="1">
      <c r="A53" s="67"/>
      <c r="B53" s="68"/>
      <c r="C53" s="68"/>
      <c r="D53" s="69" t="s">
        <v>92</v>
      </c>
      <c r="E53" s="70"/>
      <c r="F53" s="70"/>
      <c r="G53" s="70"/>
      <c r="H53" s="71"/>
      <c r="I53" s="72"/>
    </row>
    <row r="54" spans="1:9" ht="23.25" customHeight="1">
      <c r="A54" s="73">
        <v>6761806</v>
      </c>
      <c r="B54" s="73"/>
      <c r="C54" s="73">
        <f>I54</f>
        <v>572455</v>
      </c>
      <c r="D54" s="70"/>
      <c r="E54" s="70" t="s">
        <v>45</v>
      </c>
      <c r="F54" s="70"/>
      <c r="G54" s="70"/>
      <c r="H54" s="74">
        <v>510000</v>
      </c>
      <c r="I54" s="73">
        <f>135955+440600-800-3300</f>
        <v>572455</v>
      </c>
    </row>
    <row r="55" spans="1:9" ht="23.25" customHeight="1">
      <c r="A55" s="73">
        <v>2484720</v>
      </c>
      <c r="B55" s="73"/>
      <c r="C55" s="73">
        <f aca="true" t="shared" si="0" ref="C55:C67">I55</f>
        <v>207060</v>
      </c>
      <c r="D55" s="70"/>
      <c r="E55" s="70" t="s">
        <v>135</v>
      </c>
      <c r="F55" s="70"/>
      <c r="G55" s="70"/>
      <c r="H55" s="74">
        <v>521000</v>
      </c>
      <c r="I55" s="75">
        <v>207060</v>
      </c>
    </row>
    <row r="56" spans="1:9" ht="23.25" customHeight="1">
      <c r="A56" s="73">
        <f>5864260-162420</f>
        <v>5701840</v>
      </c>
      <c r="B56" s="73"/>
      <c r="C56" s="73">
        <f t="shared" si="0"/>
        <v>340780</v>
      </c>
      <c r="D56" s="70"/>
      <c r="E56" s="70" t="s">
        <v>107</v>
      </c>
      <c r="F56" s="70"/>
      <c r="G56" s="70"/>
      <c r="H56" s="74">
        <v>522000</v>
      </c>
      <c r="I56" s="75">
        <v>340780</v>
      </c>
    </row>
    <row r="57" spans="1:9" ht="23.25" customHeight="1">
      <c r="A57" s="73">
        <v>162420</v>
      </c>
      <c r="B57" s="73"/>
      <c r="C57" s="73">
        <f t="shared" si="0"/>
        <v>13310</v>
      </c>
      <c r="D57" s="70"/>
      <c r="E57" s="70" t="s">
        <v>93</v>
      </c>
      <c r="F57" s="70"/>
      <c r="G57" s="70"/>
      <c r="H57" s="74">
        <v>522000</v>
      </c>
      <c r="I57" s="75">
        <v>13310</v>
      </c>
    </row>
    <row r="58" spans="1:9" ht="23.25" customHeight="1">
      <c r="A58" s="73">
        <v>1938624</v>
      </c>
      <c r="B58" s="73"/>
      <c r="C58" s="73">
        <f t="shared" si="0"/>
        <v>147075</v>
      </c>
      <c r="D58" s="70"/>
      <c r="E58" s="70" t="s">
        <v>33</v>
      </c>
      <c r="F58" s="70"/>
      <c r="G58" s="70"/>
      <c r="H58" s="74">
        <v>522000</v>
      </c>
      <c r="I58" s="75">
        <v>147075</v>
      </c>
    </row>
    <row r="59" spans="1:9" ht="23.25" customHeight="1">
      <c r="A59" s="73">
        <v>895670</v>
      </c>
      <c r="B59" s="73"/>
      <c r="C59" s="73">
        <f t="shared" si="0"/>
        <v>7400</v>
      </c>
      <c r="D59" s="70"/>
      <c r="E59" s="70" t="s">
        <v>80</v>
      </c>
      <c r="F59" s="70"/>
      <c r="G59" s="70"/>
      <c r="H59" s="74">
        <v>531000</v>
      </c>
      <c r="I59" s="75">
        <v>7400</v>
      </c>
    </row>
    <row r="60" spans="1:9" ht="23.25" customHeight="1">
      <c r="A60" s="73">
        <v>4175470</v>
      </c>
      <c r="B60" s="73"/>
      <c r="C60" s="73">
        <f t="shared" si="0"/>
        <v>112050</v>
      </c>
      <c r="D60" s="70"/>
      <c r="E60" s="70" t="s">
        <v>81</v>
      </c>
      <c r="F60" s="70"/>
      <c r="G60" s="70"/>
      <c r="H60" s="76">
        <v>532000</v>
      </c>
      <c r="I60" s="75">
        <v>112050</v>
      </c>
    </row>
    <row r="61" spans="1:9" ht="23.25" customHeight="1">
      <c r="A61" s="77">
        <v>1880550</v>
      </c>
      <c r="B61" s="77"/>
      <c r="C61" s="73">
        <f t="shared" si="0"/>
        <v>0</v>
      </c>
      <c r="D61" s="70"/>
      <c r="E61" s="70" t="s">
        <v>83</v>
      </c>
      <c r="F61" s="70"/>
      <c r="G61" s="70"/>
      <c r="H61" s="76">
        <v>533000</v>
      </c>
      <c r="I61" s="75">
        <v>0</v>
      </c>
    </row>
    <row r="62" spans="1:9" ht="23.25" customHeight="1">
      <c r="A62" s="77">
        <v>216000</v>
      </c>
      <c r="B62" s="77"/>
      <c r="C62" s="73">
        <f t="shared" si="0"/>
        <v>3992.17</v>
      </c>
      <c r="D62" s="70"/>
      <c r="E62" s="70" t="s">
        <v>34</v>
      </c>
      <c r="F62" s="70"/>
      <c r="G62" s="70"/>
      <c r="H62" s="76">
        <v>534000</v>
      </c>
      <c r="I62" s="75">
        <v>3992.17</v>
      </c>
    </row>
    <row r="63" spans="1:9" ht="23.25" customHeight="1">
      <c r="A63" s="77">
        <v>301900</v>
      </c>
      <c r="B63" s="77"/>
      <c r="C63" s="73">
        <f t="shared" si="0"/>
        <v>0</v>
      </c>
      <c r="D63" s="70"/>
      <c r="E63" s="70" t="s">
        <v>36</v>
      </c>
      <c r="F63" s="70"/>
      <c r="G63" s="70"/>
      <c r="H63" s="76">
        <v>541000</v>
      </c>
      <c r="I63" s="75"/>
    </row>
    <row r="64" spans="1:9" ht="23.25" customHeight="1">
      <c r="A64" s="77">
        <v>2041000</v>
      </c>
      <c r="B64" s="77"/>
      <c r="C64" s="73">
        <f t="shared" si="0"/>
        <v>0</v>
      </c>
      <c r="D64" s="70"/>
      <c r="E64" s="70" t="s">
        <v>37</v>
      </c>
      <c r="F64" s="70"/>
      <c r="G64" s="70"/>
      <c r="H64" s="76">
        <v>542000</v>
      </c>
      <c r="I64" s="75"/>
    </row>
    <row r="65" spans="1:12" ht="23.25" customHeight="1">
      <c r="A65" s="77">
        <v>1090000</v>
      </c>
      <c r="B65" s="77"/>
      <c r="C65" s="73">
        <f t="shared" si="0"/>
        <v>253000</v>
      </c>
      <c r="D65" s="70"/>
      <c r="E65" s="70" t="s">
        <v>35</v>
      </c>
      <c r="F65" s="70"/>
      <c r="G65" s="70"/>
      <c r="H65" s="76">
        <v>560000</v>
      </c>
      <c r="I65" s="73">
        <v>253000</v>
      </c>
      <c r="L65" s="51"/>
    </row>
    <row r="66" spans="1:9" ht="23.25" customHeight="1">
      <c r="A66" s="77"/>
      <c r="B66" s="77"/>
      <c r="C66" s="73">
        <f t="shared" si="0"/>
        <v>0</v>
      </c>
      <c r="D66" s="70"/>
      <c r="E66" s="70" t="s">
        <v>122</v>
      </c>
      <c r="F66" s="70"/>
      <c r="G66" s="70"/>
      <c r="H66" s="76">
        <v>550000</v>
      </c>
      <c r="I66" s="73"/>
    </row>
    <row r="67" spans="1:9" ht="23.25" customHeight="1" thickBot="1">
      <c r="A67" s="78">
        <f>SUM(A53:A66)</f>
        <v>27650000</v>
      </c>
      <c r="B67" s="78"/>
      <c r="C67" s="79">
        <f t="shared" si="0"/>
        <v>1657122.17</v>
      </c>
      <c r="D67" s="70"/>
      <c r="E67" s="70"/>
      <c r="F67" s="70"/>
      <c r="G67" s="70"/>
      <c r="H67" s="76"/>
      <c r="I67" s="79">
        <f>SUM(I53:I66)</f>
        <v>1657122.17</v>
      </c>
    </row>
    <row r="68" spans="1:9" ht="23.25" customHeight="1" thickTop="1">
      <c r="A68" s="80"/>
      <c r="B68" s="80"/>
      <c r="C68" s="73"/>
      <c r="D68" s="70" t="s">
        <v>131</v>
      </c>
      <c r="E68" s="70"/>
      <c r="F68" s="70"/>
      <c r="G68" s="70"/>
      <c r="H68" s="76"/>
      <c r="I68" s="73"/>
    </row>
    <row r="69" spans="1:9" ht="23.25" customHeight="1">
      <c r="A69" s="83"/>
      <c r="B69" s="83"/>
      <c r="C69" s="73"/>
      <c r="D69" s="82"/>
      <c r="E69" s="34" t="s">
        <v>153</v>
      </c>
      <c r="F69" s="70"/>
      <c r="G69" s="70"/>
      <c r="H69" s="74"/>
      <c r="I69" s="73"/>
    </row>
    <row r="70" spans="1:9" ht="23.25" customHeight="1">
      <c r="A70" s="81"/>
      <c r="B70" s="81"/>
      <c r="C70" s="73"/>
      <c r="D70" s="82"/>
      <c r="E70" s="34" t="s">
        <v>154</v>
      </c>
      <c r="F70" s="70"/>
      <c r="G70" s="70"/>
      <c r="H70" s="74"/>
      <c r="I70" s="73"/>
    </row>
    <row r="71" spans="1:9" ht="23.25" customHeight="1">
      <c r="A71" s="81"/>
      <c r="B71" s="81"/>
      <c r="C71" s="73"/>
      <c r="D71" s="34" t="s">
        <v>38</v>
      </c>
      <c r="F71" s="70"/>
      <c r="G71" s="70"/>
      <c r="H71" s="76">
        <v>300000</v>
      </c>
      <c r="I71" s="73"/>
    </row>
    <row r="72" spans="1:9" ht="23.25" customHeight="1">
      <c r="A72" s="81"/>
      <c r="B72" s="81"/>
      <c r="C72" s="73">
        <f>I72</f>
        <v>202589.19</v>
      </c>
      <c r="D72" s="82" t="s">
        <v>104</v>
      </c>
      <c r="E72" s="45"/>
      <c r="F72" s="70"/>
      <c r="G72" s="70"/>
      <c r="H72" s="74">
        <v>230000</v>
      </c>
      <c r="I72" s="73">
        <f>6988.19+81086+63100+29388+22027</f>
        <v>202589.19</v>
      </c>
    </row>
    <row r="73" spans="1:9" ht="23.25" customHeight="1">
      <c r="A73" s="81"/>
      <c r="B73" s="81"/>
      <c r="C73" s="73">
        <f>I73</f>
        <v>440600</v>
      </c>
      <c r="D73" s="82" t="s">
        <v>103</v>
      </c>
      <c r="E73" s="45"/>
      <c r="F73" s="70"/>
      <c r="G73" s="70"/>
      <c r="H73" s="74">
        <v>110605</v>
      </c>
      <c r="I73" s="73">
        <v>440600</v>
      </c>
    </row>
    <row r="74" spans="1:9" ht="23.25" customHeight="1">
      <c r="A74" s="81"/>
      <c r="B74" s="81"/>
      <c r="C74" s="73">
        <f>I74</f>
        <v>2566</v>
      </c>
      <c r="D74" s="82" t="s">
        <v>201</v>
      </c>
      <c r="E74" s="45"/>
      <c r="F74" s="70"/>
      <c r="G74" s="70"/>
      <c r="H74" s="84" t="s">
        <v>202</v>
      </c>
      <c r="I74" s="73">
        <v>2566</v>
      </c>
    </row>
    <row r="75" spans="1:9" ht="23.25" customHeight="1">
      <c r="A75" s="81"/>
      <c r="B75" s="81"/>
      <c r="C75" s="73">
        <v>475000</v>
      </c>
      <c r="D75" s="82" t="s">
        <v>18</v>
      </c>
      <c r="E75" s="45"/>
      <c r="F75" s="70"/>
      <c r="G75" s="70"/>
      <c r="H75" s="84" t="s">
        <v>125</v>
      </c>
      <c r="I75" s="73">
        <v>475000</v>
      </c>
    </row>
    <row r="76" spans="1:9" ht="23.25" customHeight="1">
      <c r="A76" s="81"/>
      <c r="B76" s="81"/>
      <c r="C76" s="73">
        <f>I76</f>
        <v>0</v>
      </c>
      <c r="D76" s="82" t="s">
        <v>12</v>
      </c>
      <c r="E76" s="45"/>
      <c r="F76" s="70"/>
      <c r="G76" s="70"/>
      <c r="H76" s="74"/>
      <c r="I76" s="73"/>
    </row>
    <row r="77" spans="1:9" ht="23.25" customHeight="1">
      <c r="A77" s="85"/>
      <c r="B77" s="85"/>
      <c r="C77" s="86">
        <f>SUM(C68:C76)</f>
        <v>1120755.19</v>
      </c>
      <c r="D77" s="82"/>
      <c r="E77" s="45"/>
      <c r="F77" s="70"/>
      <c r="G77" s="70"/>
      <c r="H77" s="87"/>
      <c r="I77" s="88">
        <f>SUM(I68:I76)</f>
        <v>1120755.19</v>
      </c>
    </row>
    <row r="78" spans="1:9" ht="23.25" customHeight="1" thickBot="1">
      <c r="A78" s="89">
        <f>SUM(A67)</f>
        <v>27650000</v>
      </c>
      <c r="B78" s="89"/>
      <c r="C78" s="90">
        <f>SUM(C67+C77)</f>
        <v>2777877.36</v>
      </c>
      <c r="D78" s="333" t="s">
        <v>94</v>
      </c>
      <c r="E78" s="333"/>
      <c r="F78" s="333"/>
      <c r="G78" s="333"/>
      <c r="H78" s="34"/>
      <c r="I78" s="90">
        <f>SUM(I67+I77)</f>
        <v>2777877.36</v>
      </c>
    </row>
    <row r="79" spans="1:9" ht="23.25" customHeight="1" thickTop="1">
      <c r="A79" s="70"/>
      <c r="B79" s="70"/>
      <c r="C79" s="68"/>
      <c r="D79" s="333" t="s">
        <v>95</v>
      </c>
      <c r="E79" s="333"/>
      <c r="F79" s="333"/>
      <c r="G79" s="333"/>
      <c r="H79" s="70"/>
      <c r="I79" s="91"/>
    </row>
    <row r="80" spans="1:9" ht="23.25" customHeight="1">
      <c r="A80" s="70"/>
      <c r="B80" s="70"/>
      <c r="C80" s="68"/>
      <c r="D80" s="333" t="s">
        <v>96</v>
      </c>
      <c r="E80" s="333"/>
      <c r="F80" s="333"/>
      <c r="G80" s="333"/>
      <c r="H80" s="70"/>
      <c r="I80" s="91"/>
    </row>
    <row r="81" spans="1:10" s="94" customFormat="1" ht="23.25" customHeight="1">
      <c r="A81" s="69"/>
      <c r="B81" s="69"/>
      <c r="C81" s="92">
        <f>C26-C78</f>
        <v>1926455.7100000004</v>
      </c>
      <c r="D81" s="348" t="s">
        <v>98</v>
      </c>
      <c r="E81" s="348"/>
      <c r="F81" s="348"/>
      <c r="G81" s="348"/>
      <c r="H81" s="69"/>
      <c r="I81" s="92">
        <f>I26-I78</f>
        <v>1926455.7100000004</v>
      </c>
      <c r="J81" s="93"/>
    </row>
    <row r="82" spans="1:11" s="94" customFormat="1" ht="23.25" customHeight="1">
      <c r="A82" s="69"/>
      <c r="B82" s="69"/>
      <c r="C82" s="95">
        <f>SUM(C9+C26-C78)</f>
        <v>13218382.200000001</v>
      </c>
      <c r="D82" s="348" t="s">
        <v>97</v>
      </c>
      <c r="E82" s="348"/>
      <c r="F82" s="348"/>
      <c r="G82" s="348"/>
      <c r="H82" s="69"/>
      <c r="I82" s="95">
        <f>SUM(I9+I26-I78)</f>
        <v>13218382.200000001</v>
      </c>
      <c r="J82" s="96"/>
      <c r="K82" s="207"/>
    </row>
    <row r="83" spans="1:11" ht="23.25" customHeight="1">
      <c r="A83" s="70"/>
      <c r="B83" s="70"/>
      <c r="C83" s="70"/>
      <c r="D83" s="70"/>
      <c r="E83" s="70"/>
      <c r="F83" s="70"/>
      <c r="G83" s="70"/>
      <c r="H83" s="70"/>
      <c r="I83" s="70"/>
      <c r="K83" s="51"/>
    </row>
    <row r="84" spans="1:9" ht="23.25" customHeight="1">
      <c r="A84" s="349" t="s">
        <v>2</v>
      </c>
      <c r="B84" s="349"/>
      <c r="C84" s="349"/>
      <c r="D84" s="349" t="s">
        <v>3</v>
      </c>
      <c r="E84" s="349"/>
      <c r="F84" s="349"/>
      <c r="G84" s="349" t="s">
        <v>5</v>
      </c>
      <c r="H84" s="349"/>
      <c r="I84" s="349"/>
    </row>
    <row r="85" spans="1:9" ht="23.25" customHeight="1">
      <c r="A85" s="333" t="s">
        <v>166</v>
      </c>
      <c r="B85" s="333"/>
      <c r="C85" s="333"/>
      <c r="D85" s="333" t="s">
        <v>126</v>
      </c>
      <c r="E85" s="333"/>
      <c r="F85" s="333"/>
      <c r="G85" s="333" t="s">
        <v>157</v>
      </c>
      <c r="H85" s="333"/>
      <c r="I85" s="333"/>
    </row>
    <row r="86" spans="1:9" ht="23.25" customHeight="1">
      <c r="A86" s="347" t="s">
        <v>167</v>
      </c>
      <c r="B86" s="347"/>
      <c r="C86" s="347"/>
      <c r="D86" s="347" t="s">
        <v>127</v>
      </c>
      <c r="E86" s="347"/>
      <c r="F86" s="347"/>
      <c r="G86" s="347" t="s">
        <v>128</v>
      </c>
      <c r="H86" s="347"/>
      <c r="I86" s="347"/>
    </row>
    <row r="87" spans="1:6" ht="23.25" customHeight="1">
      <c r="A87" s="346" t="s">
        <v>4</v>
      </c>
      <c r="B87" s="346"/>
      <c r="C87" s="346"/>
      <c r="D87" s="97"/>
      <c r="E87" s="97"/>
      <c r="F87" s="97"/>
    </row>
    <row r="88" spans="1:9" ht="23.25" customHeight="1">
      <c r="A88" s="97"/>
      <c r="B88" s="97"/>
      <c r="C88" s="97"/>
      <c r="D88" s="97"/>
      <c r="E88" s="97"/>
      <c r="F88" s="97"/>
      <c r="G88" s="97"/>
      <c r="H88" s="97"/>
      <c r="I88" s="97"/>
    </row>
    <row r="89" spans="1:9" ht="23.25" customHeight="1">
      <c r="A89" s="97"/>
      <c r="B89" s="97"/>
      <c r="C89" s="97"/>
      <c r="D89" s="97"/>
      <c r="E89" s="97"/>
      <c r="F89" s="97"/>
      <c r="G89" s="97"/>
      <c r="H89" s="97"/>
      <c r="I89" s="97"/>
    </row>
    <row r="90" spans="1:9" ht="23.25" customHeight="1">
      <c r="A90" s="97"/>
      <c r="B90" s="97"/>
      <c r="C90" s="97"/>
      <c r="D90" s="97"/>
      <c r="E90" s="97"/>
      <c r="F90" s="97"/>
      <c r="G90" s="97"/>
      <c r="H90" s="97"/>
      <c r="I90" s="97"/>
    </row>
    <row r="91" spans="1:9" ht="23.25" customHeight="1">
      <c r="A91" s="97"/>
      <c r="B91" s="97"/>
      <c r="C91" s="97"/>
      <c r="D91" s="97"/>
      <c r="E91" s="97"/>
      <c r="F91" s="97"/>
      <c r="G91" s="97"/>
      <c r="H91" s="97"/>
      <c r="I91" s="97"/>
    </row>
    <row r="92" spans="1:9" ht="23.25" customHeight="1">
      <c r="A92" s="97"/>
      <c r="B92" s="97"/>
      <c r="C92" s="97"/>
      <c r="D92" s="97"/>
      <c r="E92" s="97"/>
      <c r="F92" s="97"/>
      <c r="G92" s="97"/>
      <c r="H92" s="97"/>
      <c r="I92" s="97"/>
    </row>
    <row r="93" spans="1:9" ht="23.25" customHeight="1">
      <c r="A93" s="97"/>
      <c r="B93" s="97"/>
      <c r="C93" s="97"/>
      <c r="D93" s="97"/>
      <c r="E93" s="97"/>
      <c r="F93" s="97"/>
      <c r="G93" s="97"/>
      <c r="H93" s="97"/>
      <c r="I93" s="97"/>
    </row>
    <row r="94" spans="1:9" ht="24" customHeight="1">
      <c r="A94" s="97"/>
      <c r="B94" s="97"/>
      <c r="C94" s="97"/>
      <c r="D94" s="97"/>
      <c r="E94" s="97"/>
      <c r="F94" s="97"/>
      <c r="G94" s="97"/>
      <c r="H94" s="97"/>
      <c r="I94" s="97"/>
    </row>
    <row r="95" spans="1:9" ht="24" customHeight="1">
      <c r="A95" s="97"/>
      <c r="B95" s="97"/>
      <c r="C95" s="97"/>
      <c r="D95" s="97"/>
      <c r="E95" s="97"/>
      <c r="F95" s="97"/>
      <c r="G95" s="97"/>
      <c r="H95" s="97"/>
      <c r="I95" s="97"/>
    </row>
    <row r="96" spans="1:9" ht="24.75" customHeight="1">
      <c r="A96" s="335" t="s">
        <v>132</v>
      </c>
      <c r="B96" s="335"/>
      <c r="C96" s="335"/>
      <c r="D96" s="335"/>
      <c r="E96" s="335"/>
      <c r="F96" s="335"/>
      <c r="G96" s="335"/>
      <c r="H96" s="335"/>
      <c r="I96" s="335"/>
    </row>
    <row r="97" spans="1:9" ht="24.75" customHeight="1">
      <c r="A97" s="348" t="s">
        <v>102</v>
      </c>
      <c r="B97" s="348"/>
      <c r="C97" s="348"/>
      <c r="D97" s="348"/>
      <c r="E97" s="348"/>
      <c r="F97" s="348"/>
      <c r="G97" s="348"/>
      <c r="H97" s="348"/>
      <c r="I97" s="348"/>
    </row>
    <row r="98" spans="1:9" ht="24.75" customHeight="1" thickBot="1">
      <c r="A98" s="206"/>
      <c r="B98" s="354" t="s">
        <v>230</v>
      </c>
      <c r="C98" s="354"/>
      <c r="D98" s="354"/>
      <c r="E98" s="354"/>
      <c r="F98" s="354"/>
      <c r="G98" s="354"/>
      <c r="H98" s="354"/>
      <c r="I98" s="206"/>
    </row>
    <row r="99" spans="1:9" ht="24.75" customHeight="1" thickBot="1">
      <c r="A99" s="355" t="s">
        <v>84</v>
      </c>
      <c r="B99" s="356"/>
      <c r="C99" s="357"/>
      <c r="D99" s="358" t="s">
        <v>78</v>
      </c>
      <c r="E99" s="359"/>
      <c r="F99" s="359"/>
      <c r="G99" s="360"/>
      <c r="H99" s="21" t="s">
        <v>86</v>
      </c>
      <c r="I99" s="22" t="s">
        <v>88</v>
      </c>
    </row>
    <row r="100" spans="1:9" ht="24.75" customHeight="1">
      <c r="A100" s="21" t="s">
        <v>39</v>
      </c>
      <c r="B100" s="21" t="s">
        <v>228</v>
      </c>
      <c r="C100" s="21" t="s">
        <v>85</v>
      </c>
      <c r="D100" s="361"/>
      <c r="E100" s="362"/>
      <c r="F100" s="362"/>
      <c r="G100" s="363"/>
      <c r="H100" s="23" t="s">
        <v>87</v>
      </c>
      <c r="I100" s="21" t="s">
        <v>85</v>
      </c>
    </row>
    <row r="101" spans="1:9" ht="24.75" customHeight="1" thickBot="1">
      <c r="A101" s="24" t="s">
        <v>40</v>
      </c>
      <c r="B101" s="212" t="s">
        <v>229</v>
      </c>
      <c r="C101" s="24" t="s">
        <v>40</v>
      </c>
      <c r="D101" s="364"/>
      <c r="E101" s="365"/>
      <c r="F101" s="365"/>
      <c r="G101" s="366"/>
      <c r="H101" s="25"/>
      <c r="I101" s="24" t="s">
        <v>40</v>
      </c>
    </row>
    <row r="102" spans="1:9" ht="24.75" customHeight="1">
      <c r="A102" s="26"/>
      <c r="B102" s="26"/>
      <c r="C102" s="27">
        <v>11291926.49</v>
      </c>
      <c r="D102" s="28" t="s">
        <v>99</v>
      </c>
      <c r="E102" s="29"/>
      <c r="F102" s="29"/>
      <c r="G102" s="30"/>
      <c r="H102" s="31"/>
      <c r="I102" s="205">
        <v>13218382.2</v>
      </c>
    </row>
    <row r="103" spans="1:9" ht="24.75" customHeight="1">
      <c r="A103" s="26"/>
      <c r="B103" s="26"/>
      <c r="C103" s="32"/>
      <c r="D103" s="33" t="s">
        <v>89</v>
      </c>
      <c r="E103" s="34"/>
      <c r="F103" s="34"/>
      <c r="G103" s="35"/>
      <c r="H103" s="37"/>
      <c r="I103" s="39"/>
    </row>
    <row r="104" spans="1:9" ht="24.75" customHeight="1">
      <c r="A104" s="36">
        <v>58000</v>
      </c>
      <c r="B104" s="36"/>
      <c r="C104" s="36">
        <v>0</v>
      </c>
      <c r="D104" s="37" t="s">
        <v>41</v>
      </c>
      <c r="E104" s="34"/>
      <c r="F104" s="34"/>
      <c r="G104" s="35"/>
      <c r="H104" s="38">
        <v>411000</v>
      </c>
      <c r="I104" s="39">
        <v>0</v>
      </c>
    </row>
    <row r="105" spans="1:9" ht="24.75" customHeight="1">
      <c r="A105" s="36">
        <v>26000</v>
      </c>
      <c r="B105" s="36"/>
      <c r="C105" s="36">
        <f>1636.4+2740</f>
        <v>4376.4</v>
      </c>
      <c r="D105" s="37" t="s">
        <v>90</v>
      </c>
      <c r="E105" s="34"/>
      <c r="F105" s="34"/>
      <c r="G105" s="35"/>
      <c r="H105" s="38">
        <v>412000</v>
      </c>
      <c r="I105" s="36">
        <f>600+2140</f>
        <v>2740</v>
      </c>
    </row>
    <row r="106" spans="1:9" ht="24.75" customHeight="1">
      <c r="A106" s="36">
        <v>70000</v>
      </c>
      <c r="B106" s="36"/>
      <c r="C106" s="36">
        <v>0</v>
      </c>
      <c r="D106" s="37" t="s">
        <v>42</v>
      </c>
      <c r="E106" s="34"/>
      <c r="F106" s="34"/>
      <c r="G106" s="35"/>
      <c r="H106" s="38">
        <v>413000</v>
      </c>
      <c r="I106" s="36">
        <v>0</v>
      </c>
    </row>
    <row r="107" spans="1:9" ht="24.75" customHeight="1">
      <c r="A107" s="36">
        <v>41000</v>
      </c>
      <c r="B107" s="36"/>
      <c r="C107" s="36">
        <f>819.4+12550</f>
        <v>13369.4</v>
      </c>
      <c r="D107" s="37" t="s">
        <v>43</v>
      </c>
      <c r="E107" s="34"/>
      <c r="F107" s="34"/>
      <c r="G107" s="35"/>
      <c r="H107" s="38">
        <v>415000</v>
      </c>
      <c r="I107" s="39">
        <f>4500+8050</f>
        <v>12550</v>
      </c>
    </row>
    <row r="108" spans="1:9" ht="24.75" customHeight="1">
      <c r="A108" s="36">
        <v>13150500</v>
      </c>
      <c r="B108" s="36"/>
      <c r="C108" s="36">
        <f>788344.77+1330617.03</f>
        <v>2118961.8</v>
      </c>
      <c r="D108" s="37" t="s">
        <v>44</v>
      </c>
      <c r="E108" s="34"/>
      <c r="F108" s="34"/>
      <c r="G108" s="35"/>
      <c r="H108" s="40">
        <v>420000</v>
      </c>
      <c r="I108" s="39">
        <f>691480.82+223111.55+8361.66+104186.51+275482.82+5473.67+22520</f>
        <v>1330617.0299999998</v>
      </c>
    </row>
    <row r="109" spans="1:9" ht="24.75" customHeight="1">
      <c r="A109" s="36">
        <v>14304500</v>
      </c>
      <c r="B109" s="36"/>
      <c r="C109" s="36">
        <v>3261953</v>
      </c>
      <c r="D109" s="37" t="s">
        <v>101</v>
      </c>
      <c r="E109" s="34"/>
      <c r="F109" s="34"/>
      <c r="G109" s="35"/>
      <c r="H109" s="40">
        <v>430000</v>
      </c>
      <c r="I109" s="39">
        <v>0</v>
      </c>
    </row>
    <row r="110" spans="1:9" ht="24.75" customHeight="1" thickBot="1">
      <c r="A110" s="41">
        <f>SUM(A104:A109)</f>
        <v>27650000</v>
      </c>
      <c r="B110" s="41"/>
      <c r="C110" s="42">
        <f>SUM(C104:C109)</f>
        <v>5398660.6</v>
      </c>
      <c r="D110" s="37"/>
      <c r="E110" s="34"/>
      <c r="F110" s="34"/>
      <c r="G110" s="35"/>
      <c r="H110" s="40"/>
      <c r="I110" s="41">
        <f>SUM(I104:I109)</f>
        <v>1345907.0299999998</v>
      </c>
    </row>
    <row r="111" spans="1:9" ht="24.75" customHeight="1" thickTop="1">
      <c r="A111" s="36"/>
      <c r="B111" s="36"/>
      <c r="C111" s="36">
        <v>2566</v>
      </c>
      <c r="D111" s="37" t="s">
        <v>231</v>
      </c>
      <c r="E111" s="34"/>
      <c r="F111" s="34"/>
      <c r="G111" s="35"/>
      <c r="H111" s="40">
        <v>110605</v>
      </c>
      <c r="I111" s="36"/>
    </row>
    <row r="112" spans="1:9" ht="24.75" customHeight="1">
      <c r="A112" s="36"/>
      <c r="B112" s="36"/>
      <c r="C112" s="36">
        <v>440600</v>
      </c>
      <c r="D112" s="37" t="s">
        <v>103</v>
      </c>
      <c r="E112" s="34"/>
      <c r="F112" s="34"/>
      <c r="G112" s="35"/>
      <c r="H112" s="40"/>
      <c r="I112" s="36"/>
    </row>
    <row r="113" spans="1:9" ht="24.75" customHeight="1">
      <c r="A113" s="26"/>
      <c r="B113" s="26"/>
      <c r="C113" s="43">
        <f>5599.5+4923.02</f>
        <v>10522.52</v>
      </c>
      <c r="D113" s="44" t="s">
        <v>232</v>
      </c>
      <c r="E113" s="45"/>
      <c r="F113" s="34"/>
      <c r="G113" s="35"/>
      <c r="H113" s="40"/>
      <c r="I113" s="46">
        <v>4923.02</v>
      </c>
    </row>
    <row r="114" spans="1:9" ht="24.75" customHeight="1">
      <c r="A114" s="26"/>
      <c r="B114" s="26"/>
      <c r="C114" s="43">
        <f>429650</f>
        <v>429650</v>
      </c>
      <c r="D114" s="44" t="s">
        <v>233</v>
      </c>
      <c r="E114" s="45"/>
      <c r="F114" s="34"/>
      <c r="G114" s="47"/>
      <c r="H114" s="40"/>
      <c r="I114" s="48">
        <v>429650</v>
      </c>
    </row>
    <row r="115" spans="1:12" ht="24.75" customHeight="1">
      <c r="A115" s="26"/>
      <c r="B115" s="26"/>
      <c r="C115" s="43">
        <f>7213+6713</f>
        <v>13926</v>
      </c>
      <c r="D115" s="44" t="s">
        <v>234</v>
      </c>
      <c r="E115" s="45"/>
      <c r="F115" s="34"/>
      <c r="G115" s="35"/>
      <c r="H115" s="49"/>
      <c r="I115" s="48">
        <v>6713</v>
      </c>
      <c r="L115" s="19">
        <v>208413.5</v>
      </c>
    </row>
    <row r="116" spans="1:9" ht="24.75" customHeight="1">
      <c r="A116" s="26"/>
      <c r="B116" s="26"/>
      <c r="C116" s="43">
        <v>100000</v>
      </c>
      <c r="D116" s="44" t="s">
        <v>235</v>
      </c>
      <c r="E116" s="45"/>
      <c r="F116" s="34"/>
      <c r="G116" s="35"/>
      <c r="H116" s="40"/>
      <c r="I116" s="48">
        <v>100000</v>
      </c>
    </row>
    <row r="117" spans="1:9" ht="24.75" customHeight="1">
      <c r="A117" s="26"/>
      <c r="B117" s="26"/>
      <c r="C117" s="43">
        <v>24450</v>
      </c>
      <c r="D117" s="44" t="s">
        <v>236</v>
      </c>
      <c r="E117" s="45"/>
      <c r="F117" s="34"/>
      <c r="G117" s="35"/>
      <c r="H117" s="40"/>
      <c r="I117" s="48">
        <v>24450</v>
      </c>
    </row>
    <row r="118" spans="1:9" ht="24.75" customHeight="1">
      <c r="A118" s="26"/>
      <c r="B118" s="26"/>
      <c r="C118" s="43">
        <f>29388+51250</f>
        <v>80638</v>
      </c>
      <c r="D118" s="44" t="s">
        <v>239</v>
      </c>
      <c r="E118" s="45"/>
      <c r="F118" s="34"/>
      <c r="G118" s="35"/>
      <c r="H118" s="40"/>
      <c r="I118" s="48">
        <v>51250</v>
      </c>
    </row>
    <row r="119" spans="1:9" ht="24.75" customHeight="1">
      <c r="A119" s="26"/>
      <c r="B119" s="26"/>
      <c r="C119" s="43">
        <f>63100+63100</f>
        <v>126200</v>
      </c>
      <c r="D119" s="44" t="s">
        <v>240</v>
      </c>
      <c r="E119" s="45"/>
      <c r="F119" s="34"/>
      <c r="G119" s="34"/>
      <c r="H119" s="40"/>
      <c r="I119" s="47">
        <v>63100</v>
      </c>
    </row>
    <row r="120" spans="1:9" ht="24.75" customHeight="1">
      <c r="A120" s="26"/>
      <c r="B120" s="26"/>
      <c r="C120" s="43">
        <f>81086+54466</f>
        <v>135552</v>
      </c>
      <c r="D120" s="44" t="s">
        <v>241</v>
      </c>
      <c r="E120" s="45"/>
      <c r="F120" s="34"/>
      <c r="G120" s="34"/>
      <c r="H120" s="40"/>
      <c r="I120" s="47">
        <v>54466</v>
      </c>
    </row>
    <row r="121" spans="1:9" ht="24.75" customHeight="1">
      <c r="A121" s="26"/>
      <c r="B121" s="26"/>
      <c r="C121" s="43">
        <f>22027+22027</f>
        <v>44054</v>
      </c>
      <c r="D121" s="44" t="s">
        <v>242</v>
      </c>
      <c r="E121" s="45"/>
      <c r="F121" s="34"/>
      <c r="G121" s="34"/>
      <c r="H121" s="40"/>
      <c r="I121" s="47">
        <v>22027</v>
      </c>
    </row>
    <row r="122" spans="1:9" ht="24.75" customHeight="1">
      <c r="A122" s="26"/>
      <c r="B122" s="26"/>
      <c r="C122" s="43">
        <v>7.1</v>
      </c>
      <c r="D122" s="44" t="s">
        <v>38</v>
      </c>
      <c r="E122" s="45"/>
      <c r="F122" s="34"/>
      <c r="G122" s="34"/>
      <c r="H122" s="40"/>
      <c r="I122" s="47">
        <v>7.1</v>
      </c>
    </row>
    <row r="123" spans="1:9" ht="24.75" customHeight="1">
      <c r="A123" s="26"/>
      <c r="B123" s="26"/>
      <c r="C123" s="43"/>
      <c r="D123" s="44"/>
      <c r="E123" s="45"/>
      <c r="F123" s="34"/>
      <c r="G123" s="34"/>
      <c r="H123" s="40"/>
      <c r="I123" s="47"/>
    </row>
    <row r="124" spans="1:9" ht="24.75" customHeight="1" thickBot="1">
      <c r="A124" s="26"/>
      <c r="B124" s="26"/>
      <c r="C124" s="52">
        <f>SUM(C111:C123)</f>
        <v>1408165.62</v>
      </c>
      <c r="D124" s="37"/>
      <c r="E124" s="34"/>
      <c r="F124" s="34"/>
      <c r="G124" s="34"/>
      <c r="H124" s="35"/>
      <c r="I124" s="54">
        <f>SUM(I111:I122)</f>
        <v>756586.12</v>
      </c>
    </row>
    <row r="125" spans="1:9" ht="24.75" customHeight="1" thickBot="1">
      <c r="A125" s="55">
        <f>SUM(A110)</f>
        <v>27650000</v>
      </c>
      <c r="B125" s="211"/>
      <c r="C125" s="41">
        <f>SUM(C110+C124)</f>
        <v>6806826.22</v>
      </c>
      <c r="D125" s="37"/>
      <c r="E125" s="34"/>
      <c r="F125" s="56" t="s">
        <v>106</v>
      </c>
      <c r="G125" s="34"/>
      <c r="H125" s="35"/>
      <c r="I125" s="41">
        <f>SUM(I110+I124)</f>
        <v>2102493.15</v>
      </c>
    </row>
    <row r="126" spans="1:9" ht="24.75" customHeight="1">
      <c r="A126" s="57"/>
      <c r="B126" s="57"/>
      <c r="C126" s="57"/>
      <c r="D126" s="34"/>
      <c r="E126" s="34"/>
      <c r="F126" s="56"/>
      <c r="G126" s="34"/>
      <c r="H126" s="34"/>
      <c r="I126" s="57"/>
    </row>
    <row r="127" spans="1:9" ht="24.75" customHeight="1">
      <c r="A127" s="57"/>
      <c r="B127" s="57"/>
      <c r="C127" s="57"/>
      <c r="D127" s="34"/>
      <c r="E127" s="34"/>
      <c r="F127" s="56"/>
      <c r="G127" s="34"/>
      <c r="H127" s="34"/>
      <c r="I127" s="57"/>
    </row>
    <row r="128" spans="1:9" ht="24.75" customHeight="1">
      <c r="A128" s="57"/>
      <c r="B128" s="57"/>
      <c r="C128" s="57"/>
      <c r="D128" s="34"/>
      <c r="E128" s="34"/>
      <c r="F128" s="56"/>
      <c r="G128" s="34"/>
      <c r="H128" s="34"/>
      <c r="I128" s="57"/>
    </row>
    <row r="129" spans="1:9" ht="24.75" customHeight="1">
      <c r="A129" s="57"/>
      <c r="B129" s="57"/>
      <c r="C129" s="57"/>
      <c r="D129" s="34"/>
      <c r="E129" s="34"/>
      <c r="F129" s="56"/>
      <c r="G129" s="34"/>
      <c r="H129" s="34"/>
      <c r="I129" s="57"/>
    </row>
    <row r="130" spans="1:9" ht="24.75" customHeight="1">
      <c r="A130" s="57"/>
      <c r="B130" s="57"/>
      <c r="C130" s="57"/>
      <c r="D130" s="34"/>
      <c r="E130" s="34"/>
      <c r="F130" s="56"/>
      <c r="G130" s="34"/>
      <c r="H130" s="34"/>
      <c r="I130" s="57"/>
    </row>
    <row r="131" spans="1:9" ht="24.75" customHeight="1">
      <c r="A131" s="57"/>
      <c r="B131" s="57"/>
      <c r="C131" s="57"/>
      <c r="D131" s="34"/>
      <c r="E131" s="34"/>
      <c r="F131" s="56"/>
      <c r="G131" s="34"/>
      <c r="H131" s="34"/>
      <c r="I131" s="57"/>
    </row>
    <row r="132" spans="1:12" ht="24.75" customHeight="1">
      <c r="A132" s="57"/>
      <c r="B132" s="57"/>
      <c r="C132" s="57"/>
      <c r="D132" s="34"/>
      <c r="E132" s="34"/>
      <c r="F132" s="56"/>
      <c r="G132" s="34"/>
      <c r="H132" s="34"/>
      <c r="I132" s="57"/>
      <c r="L132" s="51"/>
    </row>
    <row r="133" spans="1:9" ht="24.75" customHeight="1">
      <c r="A133" s="57"/>
      <c r="B133" s="57"/>
      <c r="C133" s="57"/>
      <c r="D133" s="34"/>
      <c r="E133" s="34"/>
      <c r="F133" s="56"/>
      <c r="G133" s="34"/>
      <c r="H133" s="34"/>
      <c r="I133" s="57"/>
    </row>
    <row r="134" spans="1:9" ht="24.75" customHeight="1">
      <c r="A134" s="57"/>
      <c r="B134" s="57"/>
      <c r="C134" s="57"/>
      <c r="D134" s="34"/>
      <c r="E134" s="34"/>
      <c r="F134" s="56"/>
      <c r="G134" s="34"/>
      <c r="H134" s="34"/>
      <c r="I134" s="57"/>
    </row>
    <row r="135" spans="1:9" ht="24.75" customHeight="1">
      <c r="A135" s="57"/>
      <c r="B135" s="57"/>
      <c r="C135" s="57"/>
      <c r="D135" s="34"/>
      <c r="E135" s="34"/>
      <c r="F135" s="56"/>
      <c r="G135" s="34"/>
      <c r="H135" s="34"/>
      <c r="I135" s="57"/>
    </row>
    <row r="136" spans="1:9" ht="24.75" customHeight="1">
      <c r="A136" s="57"/>
      <c r="B136" s="57"/>
      <c r="C136" s="57"/>
      <c r="D136" s="34"/>
      <c r="E136" s="34"/>
      <c r="F136" s="56"/>
      <c r="G136" s="34"/>
      <c r="H136" s="34"/>
      <c r="I136" s="57"/>
    </row>
    <row r="137" spans="1:9" ht="24.75" customHeight="1">
      <c r="A137" s="57"/>
      <c r="B137" s="57"/>
      <c r="C137" s="57"/>
      <c r="D137" s="34"/>
      <c r="E137" s="34"/>
      <c r="F137" s="56"/>
      <c r="G137" s="34"/>
      <c r="H137" s="34"/>
      <c r="I137" s="57"/>
    </row>
    <row r="138" spans="1:9" ht="24.75" customHeight="1">
      <c r="A138" s="57"/>
      <c r="B138" s="57"/>
      <c r="C138" s="57"/>
      <c r="D138" s="34"/>
      <c r="E138" s="34"/>
      <c r="F138" s="56"/>
      <c r="G138" s="34"/>
      <c r="H138" s="34"/>
      <c r="I138" s="57"/>
    </row>
    <row r="139" spans="1:9" ht="24.75" customHeight="1">
      <c r="A139" s="57"/>
      <c r="B139" s="57"/>
      <c r="C139" s="57"/>
      <c r="D139" s="34"/>
      <c r="E139" s="34"/>
      <c r="F139" s="56"/>
      <c r="G139" s="34"/>
      <c r="H139" s="34"/>
      <c r="I139" s="57"/>
    </row>
    <row r="140" spans="1:9" ht="23.25" customHeight="1">
      <c r="A140" s="333">
        <v>2</v>
      </c>
      <c r="B140" s="333"/>
      <c r="C140" s="333"/>
      <c r="D140" s="333"/>
      <c r="E140" s="333"/>
      <c r="F140" s="333"/>
      <c r="G140" s="333"/>
      <c r="H140" s="333"/>
      <c r="I140" s="333"/>
    </row>
    <row r="141" spans="1:9" ht="23.25" customHeight="1">
      <c r="A141" s="350" t="s">
        <v>91</v>
      </c>
      <c r="B141" s="351"/>
      <c r="C141" s="352"/>
      <c r="D141" s="58"/>
      <c r="E141" s="58"/>
      <c r="F141" s="58"/>
      <c r="G141" s="58"/>
      <c r="H141" s="59" t="s">
        <v>86</v>
      </c>
      <c r="I141" s="60" t="s">
        <v>88</v>
      </c>
    </row>
    <row r="142" spans="1:9" ht="23.25" customHeight="1">
      <c r="A142" s="59" t="s">
        <v>39</v>
      </c>
      <c r="B142" s="59" t="s">
        <v>228</v>
      </c>
      <c r="C142" s="59" t="s">
        <v>85</v>
      </c>
      <c r="D142" s="353" t="s">
        <v>78</v>
      </c>
      <c r="E142" s="353"/>
      <c r="F142" s="353"/>
      <c r="G142" s="353"/>
      <c r="H142" s="62" t="s">
        <v>87</v>
      </c>
      <c r="I142" s="59" t="s">
        <v>85</v>
      </c>
    </row>
    <row r="143" spans="1:9" ht="23.25" customHeight="1">
      <c r="A143" s="64" t="s">
        <v>40</v>
      </c>
      <c r="B143" s="216" t="s">
        <v>229</v>
      </c>
      <c r="C143" s="64" t="s">
        <v>40</v>
      </c>
      <c r="D143" s="65"/>
      <c r="E143" s="65"/>
      <c r="F143" s="65"/>
      <c r="G143" s="65"/>
      <c r="H143" s="66"/>
      <c r="I143" s="64" t="s">
        <v>40</v>
      </c>
    </row>
    <row r="144" spans="1:9" ht="23.25" customHeight="1">
      <c r="A144" s="68"/>
      <c r="B144" s="68"/>
      <c r="C144" s="68"/>
      <c r="D144" s="69" t="s">
        <v>92</v>
      </c>
      <c r="E144" s="70"/>
      <c r="F144" s="70"/>
      <c r="G144" s="70"/>
      <c r="H144" s="71"/>
      <c r="I144" s="72"/>
    </row>
    <row r="145" spans="1:9" ht="23.25" customHeight="1">
      <c r="A145" s="73">
        <v>6761806</v>
      </c>
      <c r="B145" s="73"/>
      <c r="C145" s="73">
        <f>572455+479826</f>
        <v>1052281</v>
      </c>
      <c r="D145" s="70" t="s">
        <v>45</v>
      </c>
      <c r="F145" s="70"/>
      <c r="G145" s="70"/>
      <c r="H145" s="74">
        <v>510000</v>
      </c>
      <c r="I145" s="73">
        <f>483326-2700-800</f>
        <v>479826</v>
      </c>
    </row>
    <row r="146" spans="1:9" ht="23.25" customHeight="1">
      <c r="A146" s="73">
        <v>2484720</v>
      </c>
      <c r="B146" s="73"/>
      <c r="C146" s="73">
        <f>I146+207060</f>
        <v>414120</v>
      </c>
      <c r="D146" s="70" t="s">
        <v>135</v>
      </c>
      <c r="F146" s="70"/>
      <c r="G146" s="70"/>
      <c r="H146" s="74">
        <v>521000</v>
      </c>
      <c r="I146" s="75">
        <v>207060</v>
      </c>
    </row>
    <row r="147" spans="1:9" ht="23.25" customHeight="1">
      <c r="A147" s="73">
        <f>5864260-162420</f>
        <v>5701840</v>
      </c>
      <c r="B147" s="73"/>
      <c r="C147" s="73">
        <f>340780+340780</f>
        <v>681560</v>
      </c>
      <c r="D147" s="70" t="s">
        <v>107</v>
      </c>
      <c r="F147" s="70"/>
      <c r="G147" s="70"/>
      <c r="H147" s="74">
        <v>522000</v>
      </c>
      <c r="I147" s="75">
        <v>340780</v>
      </c>
    </row>
    <row r="148" spans="1:9" ht="23.25" customHeight="1">
      <c r="A148" s="73">
        <v>162420</v>
      </c>
      <c r="B148" s="73"/>
      <c r="C148" s="73">
        <f>13310+13310</f>
        <v>26620</v>
      </c>
      <c r="D148" s="70" t="s">
        <v>93</v>
      </c>
      <c r="F148" s="70"/>
      <c r="G148" s="70"/>
      <c r="H148" s="74">
        <v>522000</v>
      </c>
      <c r="I148" s="75">
        <v>13310</v>
      </c>
    </row>
    <row r="149" spans="1:9" ht="23.25" customHeight="1">
      <c r="A149" s="73">
        <v>1938624</v>
      </c>
      <c r="B149" s="73"/>
      <c r="C149" s="73">
        <f>147075+137075</f>
        <v>284150</v>
      </c>
      <c r="D149" s="70" t="s">
        <v>33</v>
      </c>
      <c r="F149" s="70"/>
      <c r="G149" s="70"/>
      <c r="H149" s="74">
        <v>522000</v>
      </c>
      <c r="I149" s="75">
        <v>137075</v>
      </c>
    </row>
    <row r="150" spans="1:9" ht="23.25" customHeight="1">
      <c r="A150" s="73">
        <v>895670</v>
      </c>
      <c r="B150" s="73"/>
      <c r="C150" s="73">
        <f>7400+15115</f>
        <v>22515</v>
      </c>
      <c r="D150" s="70" t="s">
        <v>80</v>
      </c>
      <c r="F150" s="70"/>
      <c r="G150" s="70"/>
      <c r="H150" s="74">
        <v>531000</v>
      </c>
      <c r="I150" s="75">
        <v>15115</v>
      </c>
    </row>
    <row r="151" spans="1:9" ht="23.25" customHeight="1">
      <c r="A151" s="73">
        <v>4175470</v>
      </c>
      <c r="B151" s="73"/>
      <c r="C151" s="73">
        <f>112050+193659.29-0.9</f>
        <v>305708.39</v>
      </c>
      <c r="D151" s="70" t="s">
        <v>81</v>
      </c>
      <c r="F151" s="70"/>
      <c r="G151" s="70"/>
      <c r="H151" s="76">
        <v>532000</v>
      </c>
      <c r="I151" s="75">
        <f>193659.29-0.9</f>
        <v>193658.39</v>
      </c>
    </row>
    <row r="152" spans="1:9" ht="23.25" customHeight="1">
      <c r="A152" s="77">
        <v>1880550</v>
      </c>
      <c r="B152" s="77"/>
      <c r="C152" s="73">
        <v>90550</v>
      </c>
      <c r="D152" s="70" t="s">
        <v>83</v>
      </c>
      <c r="F152" s="70"/>
      <c r="G152" s="70"/>
      <c r="H152" s="76">
        <v>533000</v>
      </c>
      <c r="I152" s="75">
        <v>90550</v>
      </c>
    </row>
    <row r="153" spans="1:9" ht="23.25" customHeight="1">
      <c r="A153" s="77">
        <v>216000</v>
      </c>
      <c r="B153" s="77"/>
      <c r="C153" s="73">
        <f>3992.17+10529.38</f>
        <v>14521.55</v>
      </c>
      <c r="D153" s="70" t="s">
        <v>34</v>
      </c>
      <c r="F153" s="70"/>
      <c r="G153" s="70"/>
      <c r="H153" s="76">
        <v>534000</v>
      </c>
      <c r="I153" s="75">
        <v>10529.38</v>
      </c>
    </row>
    <row r="154" spans="1:9" ht="23.25" customHeight="1">
      <c r="A154" s="77">
        <v>301900</v>
      </c>
      <c r="B154" s="77"/>
      <c r="C154" s="73">
        <f>I154</f>
        <v>0</v>
      </c>
      <c r="D154" s="70" t="s">
        <v>36</v>
      </c>
      <c r="F154" s="70"/>
      <c r="G154" s="70"/>
      <c r="H154" s="76">
        <v>541000</v>
      </c>
      <c r="I154" s="75">
        <v>0</v>
      </c>
    </row>
    <row r="155" spans="1:9" ht="23.25" customHeight="1">
      <c r="A155" s="77">
        <v>2041000</v>
      </c>
      <c r="B155" s="77"/>
      <c r="C155" s="73">
        <f>I155</f>
        <v>0</v>
      </c>
      <c r="D155" s="70" t="s">
        <v>37</v>
      </c>
      <c r="F155" s="70"/>
      <c r="G155" s="70"/>
      <c r="H155" s="76">
        <v>542000</v>
      </c>
      <c r="I155" s="75">
        <v>0</v>
      </c>
    </row>
    <row r="156" spans="1:9" ht="23.25" customHeight="1">
      <c r="A156" s="77">
        <v>1090000</v>
      </c>
      <c r="B156" s="77"/>
      <c r="C156" s="73">
        <f>253000+20000</f>
        <v>273000</v>
      </c>
      <c r="D156" s="70" t="s">
        <v>35</v>
      </c>
      <c r="F156" s="70"/>
      <c r="G156" s="70"/>
      <c r="H156" s="76">
        <v>560000</v>
      </c>
      <c r="I156" s="73">
        <v>20000</v>
      </c>
    </row>
    <row r="157" spans="1:9" ht="23.25" customHeight="1">
      <c r="A157" s="77"/>
      <c r="B157" s="77"/>
      <c r="C157" s="73">
        <f>I157</f>
        <v>0</v>
      </c>
      <c r="D157" s="70" t="s">
        <v>122</v>
      </c>
      <c r="F157" s="70"/>
      <c r="G157" s="70"/>
      <c r="H157" s="76">
        <v>550000</v>
      </c>
      <c r="I157" s="73"/>
    </row>
    <row r="158" spans="1:9" ht="23.25" customHeight="1" thickBot="1">
      <c r="A158" s="78">
        <f>SUM(A144:A157)</f>
        <v>27650000</v>
      </c>
      <c r="B158" s="78"/>
      <c r="C158" s="90">
        <f>SUM(C145:C157)</f>
        <v>3165025.94</v>
      </c>
      <c r="D158" s="70"/>
      <c r="E158" s="70"/>
      <c r="F158" s="70"/>
      <c r="G158" s="70"/>
      <c r="H158" s="76"/>
      <c r="I158" s="90">
        <f>SUM(I144:I157)</f>
        <v>1507903.77</v>
      </c>
    </row>
    <row r="159" spans="1:9" ht="23.25" customHeight="1" thickTop="1">
      <c r="A159" s="80"/>
      <c r="B159" s="80"/>
      <c r="C159" s="73">
        <v>2566</v>
      </c>
      <c r="D159" s="70" t="s">
        <v>201</v>
      </c>
      <c r="E159" s="70"/>
      <c r="F159" s="70"/>
      <c r="G159" s="70"/>
      <c r="H159" s="76"/>
      <c r="I159" s="73"/>
    </row>
    <row r="160" spans="1:9" ht="23.25" customHeight="1">
      <c r="A160" s="80"/>
      <c r="B160" s="80"/>
      <c r="C160" s="73">
        <v>440600</v>
      </c>
      <c r="D160" s="70" t="s">
        <v>103</v>
      </c>
      <c r="E160" s="70"/>
      <c r="F160" s="70"/>
      <c r="G160" s="70"/>
      <c r="H160" s="76"/>
      <c r="I160" s="73"/>
    </row>
    <row r="161" spans="1:9" ht="23.25" customHeight="1">
      <c r="A161" s="83"/>
      <c r="B161" s="83"/>
      <c r="C161" s="73">
        <f>475000+253800</f>
        <v>728800</v>
      </c>
      <c r="D161" s="82" t="s">
        <v>18</v>
      </c>
      <c r="E161" s="34"/>
      <c r="F161" s="70"/>
      <c r="G161" s="70"/>
      <c r="H161" s="74"/>
      <c r="I161" s="73">
        <v>253800</v>
      </c>
    </row>
    <row r="162" spans="1:9" ht="23.25" customHeight="1">
      <c r="A162" s="81"/>
      <c r="B162" s="81"/>
      <c r="C162" s="73">
        <f>6988.19+5599.5</f>
        <v>12587.689999999999</v>
      </c>
      <c r="D162" s="82" t="s">
        <v>232</v>
      </c>
      <c r="E162" s="34"/>
      <c r="F162" s="70"/>
      <c r="G162" s="70"/>
      <c r="H162" s="74"/>
      <c r="I162" s="73">
        <v>5599.5</v>
      </c>
    </row>
    <row r="163" spans="1:9" ht="23.25" customHeight="1">
      <c r="A163" s="81"/>
      <c r="B163" s="81"/>
      <c r="C163" s="73">
        <v>16050</v>
      </c>
      <c r="D163" s="34" t="s">
        <v>237</v>
      </c>
      <c r="F163" s="70"/>
      <c r="G163" s="70"/>
      <c r="H163" s="76">
        <v>300000</v>
      </c>
      <c r="I163" s="73">
        <v>16050</v>
      </c>
    </row>
    <row r="164" spans="1:9" ht="23.25" customHeight="1">
      <c r="A164" s="81"/>
      <c r="B164" s="81"/>
      <c r="C164" s="73">
        <v>13926</v>
      </c>
      <c r="D164" s="82" t="s">
        <v>238</v>
      </c>
      <c r="E164" s="45"/>
      <c r="F164" s="70"/>
      <c r="G164" s="70"/>
      <c r="H164" s="74">
        <v>230000</v>
      </c>
      <c r="I164" s="73">
        <v>13926</v>
      </c>
    </row>
    <row r="165" spans="1:9" ht="23.25" customHeight="1">
      <c r="A165" s="81"/>
      <c r="B165" s="81"/>
      <c r="C165" s="73">
        <v>100000</v>
      </c>
      <c r="D165" s="82" t="s">
        <v>77</v>
      </c>
      <c r="E165" s="45"/>
      <c r="F165" s="70"/>
      <c r="G165" s="70"/>
      <c r="H165" s="74">
        <v>110605</v>
      </c>
      <c r="I165" s="73">
        <v>100000</v>
      </c>
    </row>
    <row r="166" spans="1:9" ht="23.25" customHeight="1">
      <c r="A166" s="81"/>
      <c r="B166" s="81"/>
      <c r="C166" s="77">
        <f>29388+51250</f>
        <v>80638</v>
      </c>
      <c r="D166" s="213" t="s">
        <v>239</v>
      </c>
      <c r="E166" s="45"/>
      <c r="F166" s="34"/>
      <c r="G166" s="34"/>
      <c r="H166" s="214"/>
      <c r="I166" s="47">
        <v>51250</v>
      </c>
    </row>
    <row r="167" spans="1:9" ht="23.25" customHeight="1">
      <c r="A167" s="81"/>
      <c r="B167" s="81"/>
      <c r="C167" s="77">
        <f>63100+63100</f>
        <v>126200</v>
      </c>
      <c r="D167" s="213" t="s">
        <v>240</v>
      </c>
      <c r="E167" s="45"/>
      <c r="F167" s="34"/>
      <c r="G167" s="34"/>
      <c r="H167" s="214"/>
      <c r="I167" s="47">
        <v>63100</v>
      </c>
    </row>
    <row r="168" spans="1:9" ht="23.25" customHeight="1">
      <c r="A168" s="81"/>
      <c r="B168" s="81"/>
      <c r="C168" s="77">
        <f>81086+54466</f>
        <v>135552</v>
      </c>
      <c r="D168" s="213" t="s">
        <v>241</v>
      </c>
      <c r="E168" s="45"/>
      <c r="F168" s="34"/>
      <c r="G168" s="34"/>
      <c r="H168" s="214"/>
      <c r="I168" s="47">
        <v>54466</v>
      </c>
    </row>
    <row r="169" spans="1:9" ht="23.25" customHeight="1">
      <c r="A169" s="81"/>
      <c r="B169" s="81"/>
      <c r="C169" s="77">
        <f>22027+22027</f>
        <v>44054</v>
      </c>
      <c r="D169" s="213" t="s">
        <v>242</v>
      </c>
      <c r="E169" s="45"/>
      <c r="F169" s="34"/>
      <c r="G169" s="34"/>
      <c r="H169" s="214"/>
      <c r="I169" s="47">
        <v>22027</v>
      </c>
    </row>
    <row r="170" spans="1:9" ht="23.25" customHeight="1">
      <c r="A170" s="81"/>
      <c r="B170" s="81"/>
      <c r="C170" s="73"/>
      <c r="D170" s="82"/>
      <c r="E170" s="45"/>
      <c r="F170" s="70"/>
      <c r="G170" s="70"/>
      <c r="H170" s="74"/>
      <c r="I170" s="73"/>
    </row>
    <row r="171" spans="1:9" ht="23.25" customHeight="1">
      <c r="A171" s="85"/>
      <c r="B171" s="85"/>
      <c r="C171" s="86">
        <f>SUM(C159:C170)</f>
        <v>1700973.69</v>
      </c>
      <c r="D171" s="82"/>
      <c r="E171" s="45"/>
      <c r="F171" s="70"/>
      <c r="G171" s="70"/>
      <c r="H171" s="87"/>
      <c r="I171" s="88">
        <f>SUM(I159:I170)</f>
        <v>580218.5</v>
      </c>
    </row>
    <row r="172" spans="1:9" ht="23.25" customHeight="1" thickBot="1">
      <c r="A172" s="89">
        <f>SUM(A158)</f>
        <v>27650000</v>
      </c>
      <c r="B172" s="89"/>
      <c r="C172" s="90">
        <f>SUM(C158+C171)</f>
        <v>4865999.63</v>
      </c>
      <c r="D172" s="333" t="s">
        <v>94</v>
      </c>
      <c r="E172" s="333"/>
      <c r="F172" s="333"/>
      <c r="G172" s="333"/>
      <c r="H172" s="34"/>
      <c r="I172" s="90">
        <f>SUM(I158+I171)</f>
        <v>2088122.27</v>
      </c>
    </row>
    <row r="173" spans="1:9" ht="23.25" customHeight="1" thickTop="1">
      <c r="A173" s="70"/>
      <c r="B173" s="70"/>
      <c r="C173" s="68"/>
      <c r="D173" s="333" t="s">
        <v>95</v>
      </c>
      <c r="E173" s="333"/>
      <c r="F173" s="333"/>
      <c r="G173" s="333"/>
      <c r="H173" s="70"/>
      <c r="I173" s="91"/>
    </row>
    <row r="174" spans="1:9" ht="23.25" customHeight="1">
      <c r="A174" s="70"/>
      <c r="B174" s="70"/>
      <c r="C174" s="68"/>
      <c r="D174" s="333" t="s">
        <v>96</v>
      </c>
      <c r="E174" s="333"/>
      <c r="F174" s="333"/>
      <c r="G174" s="333"/>
      <c r="H174" s="70"/>
      <c r="I174" s="91"/>
    </row>
    <row r="175" spans="1:9" ht="23.25" customHeight="1">
      <c r="A175" s="69"/>
      <c r="B175" s="69"/>
      <c r="C175" s="92">
        <f>C125-C172</f>
        <v>1940826.5899999999</v>
      </c>
      <c r="D175" s="348" t="s">
        <v>98</v>
      </c>
      <c r="E175" s="348"/>
      <c r="F175" s="348"/>
      <c r="G175" s="348"/>
      <c r="H175" s="69"/>
      <c r="I175" s="92">
        <f>I125-I172</f>
        <v>14370.879999999888</v>
      </c>
    </row>
    <row r="176" spans="1:11" ht="23.25" customHeight="1">
      <c r="A176" s="69"/>
      <c r="B176" s="69"/>
      <c r="C176" s="95">
        <f>SUM(C102+C125-C172)</f>
        <v>13232753.080000002</v>
      </c>
      <c r="D176" s="348" t="s">
        <v>97</v>
      </c>
      <c r="E176" s="348"/>
      <c r="F176" s="348"/>
      <c r="G176" s="348"/>
      <c r="H176" s="69"/>
      <c r="I176" s="95">
        <f>SUM(I102+I125-I172)</f>
        <v>13232753.08</v>
      </c>
      <c r="K176" s="51"/>
    </row>
    <row r="177" spans="1:11" ht="23.25" customHeight="1">
      <c r="A177" s="69"/>
      <c r="B177" s="69"/>
      <c r="C177" s="217"/>
      <c r="D177" s="206"/>
      <c r="E177" s="206"/>
      <c r="F177" s="206"/>
      <c r="G177" s="206"/>
      <c r="H177" s="69"/>
      <c r="I177" s="217"/>
      <c r="K177" s="51"/>
    </row>
    <row r="178" spans="1:9" ht="23.25" customHeight="1">
      <c r="A178" s="70"/>
      <c r="B178" s="70"/>
      <c r="C178" s="70"/>
      <c r="D178" s="70"/>
      <c r="E178" s="70"/>
      <c r="F178" s="70"/>
      <c r="G178" s="70"/>
      <c r="H178" s="70"/>
      <c r="I178" s="70"/>
    </row>
    <row r="179" spans="1:9" ht="23.25" customHeight="1">
      <c r="A179" s="349" t="s">
        <v>262</v>
      </c>
      <c r="B179" s="349"/>
      <c r="C179" s="349"/>
      <c r="D179" s="349" t="s">
        <v>263</v>
      </c>
      <c r="E179" s="349"/>
      <c r="F179" s="349"/>
      <c r="G179" s="349" t="s">
        <v>5</v>
      </c>
      <c r="H179" s="349"/>
      <c r="I179" s="349"/>
    </row>
    <row r="180" spans="1:9" ht="23.25" customHeight="1">
      <c r="A180" s="349" t="s">
        <v>259</v>
      </c>
      <c r="B180" s="349"/>
      <c r="C180" s="349"/>
      <c r="D180" s="333" t="s">
        <v>126</v>
      </c>
      <c r="E180" s="333"/>
      <c r="F180" s="333"/>
      <c r="G180" s="333" t="s">
        <v>264</v>
      </c>
      <c r="H180" s="333"/>
      <c r="I180" s="333"/>
    </row>
    <row r="181" spans="1:9" ht="23.25" customHeight="1">
      <c r="A181" s="346" t="s">
        <v>260</v>
      </c>
      <c r="B181" s="346"/>
      <c r="C181" s="346"/>
      <c r="D181" s="347" t="s">
        <v>127</v>
      </c>
      <c r="E181" s="347"/>
      <c r="F181" s="347"/>
      <c r="G181" s="347" t="s">
        <v>265</v>
      </c>
      <c r="H181" s="347"/>
      <c r="I181" s="347"/>
    </row>
    <row r="182" spans="1:6" ht="23.25" customHeight="1">
      <c r="A182" s="346" t="s">
        <v>261</v>
      </c>
      <c r="B182" s="346"/>
      <c r="C182" s="346"/>
      <c r="D182" s="97"/>
      <c r="E182" s="97"/>
      <c r="F182" s="97"/>
    </row>
    <row r="183" spans="1:9" ht="23.25" customHeight="1">
      <c r="A183" s="97"/>
      <c r="B183" s="97"/>
      <c r="C183" s="97"/>
      <c r="D183" s="97"/>
      <c r="E183" s="97"/>
      <c r="F183" s="97"/>
      <c r="G183" s="97"/>
      <c r="H183" s="97"/>
      <c r="I183" s="97"/>
    </row>
    <row r="184" spans="1:9" ht="23.25" customHeight="1">
      <c r="A184" s="97"/>
      <c r="B184" s="97"/>
      <c r="C184" s="97"/>
      <c r="D184" s="97"/>
      <c r="E184" s="97"/>
      <c r="F184" s="97"/>
      <c r="G184" s="97"/>
      <c r="H184" s="97"/>
      <c r="I184" s="97"/>
    </row>
    <row r="185" spans="1:9" ht="23.25" customHeight="1">
      <c r="A185" s="97"/>
      <c r="B185" s="97"/>
      <c r="C185" s="97"/>
      <c r="D185" s="97"/>
      <c r="E185" s="97"/>
      <c r="F185" s="97"/>
      <c r="G185" s="97"/>
      <c r="H185" s="97"/>
      <c r="I185" s="97"/>
    </row>
    <row r="186" spans="1:9" ht="23.25" customHeight="1">
      <c r="A186" s="97"/>
      <c r="B186" s="97"/>
      <c r="C186" s="97"/>
      <c r="D186" s="97"/>
      <c r="E186" s="97"/>
      <c r="F186" s="97"/>
      <c r="G186" s="97"/>
      <c r="H186" s="97"/>
      <c r="I186" s="97"/>
    </row>
    <row r="187" spans="1:9" ht="23.25" customHeight="1">
      <c r="A187" s="335" t="s">
        <v>132</v>
      </c>
      <c r="B187" s="335"/>
      <c r="C187" s="335"/>
      <c r="D187" s="335"/>
      <c r="E187" s="335"/>
      <c r="F187" s="335"/>
      <c r="G187" s="335"/>
      <c r="H187" s="335"/>
      <c r="I187" s="335"/>
    </row>
    <row r="188" spans="1:9" ht="23.25" customHeight="1">
      <c r="A188" s="348" t="s">
        <v>102</v>
      </c>
      <c r="B188" s="348"/>
      <c r="C188" s="348"/>
      <c r="D188" s="348"/>
      <c r="E188" s="348"/>
      <c r="F188" s="348"/>
      <c r="G188" s="348"/>
      <c r="H188" s="348"/>
      <c r="I188" s="348"/>
    </row>
    <row r="189" spans="1:9" ht="23.25" customHeight="1" thickBot="1">
      <c r="A189" s="206"/>
      <c r="B189" s="354" t="s">
        <v>388</v>
      </c>
      <c r="C189" s="354"/>
      <c r="D189" s="354"/>
      <c r="E189" s="354"/>
      <c r="F189" s="354"/>
      <c r="G189" s="354"/>
      <c r="H189" s="354"/>
      <c r="I189" s="206"/>
    </row>
    <row r="190" spans="1:9" ht="23.25" customHeight="1" thickBot="1">
      <c r="A190" s="355" t="s">
        <v>84</v>
      </c>
      <c r="B190" s="356"/>
      <c r="C190" s="357"/>
      <c r="D190" s="358" t="s">
        <v>78</v>
      </c>
      <c r="E190" s="359"/>
      <c r="F190" s="359"/>
      <c r="G190" s="360"/>
      <c r="H190" s="21" t="s">
        <v>86</v>
      </c>
      <c r="I190" s="22" t="s">
        <v>88</v>
      </c>
    </row>
    <row r="191" spans="1:9" ht="23.25" customHeight="1">
      <c r="A191" s="21" t="s">
        <v>39</v>
      </c>
      <c r="B191" s="21" t="s">
        <v>228</v>
      </c>
      <c r="C191" s="21" t="s">
        <v>85</v>
      </c>
      <c r="D191" s="361"/>
      <c r="E191" s="362"/>
      <c r="F191" s="362"/>
      <c r="G191" s="363"/>
      <c r="H191" s="23" t="s">
        <v>87</v>
      </c>
      <c r="I191" s="21" t="s">
        <v>85</v>
      </c>
    </row>
    <row r="192" spans="1:9" ht="23.25" customHeight="1" thickBot="1">
      <c r="A192" s="24" t="s">
        <v>40</v>
      </c>
      <c r="B192" s="212" t="s">
        <v>229</v>
      </c>
      <c r="C192" s="24" t="s">
        <v>40</v>
      </c>
      <c r="D192" s="364"/>
      <c r="E192" s="365"/>
      <c r="F192" s="365"/>
      <c r="G192" s="366"/>
      <c r="H192" s="25"/>
      <c r="I192" s="24" t="s">
        <v>40</v>
      </c>
    </row>
    <row r="193" spans="1:9" ht="23.25" customHeight="1">
      <c r="A193" s="26"/>
      <c r="B193" s="26"/>
      <c r="C193" s="27">
        <v>11291926.49</v>
      </c>
      <c r="D193" s="28" t="s">
        <v>99</v>
      </c>
      <c r="E193" s="29"/>
      <c r="F193" s="29"/>
      <c r="G193" s="30"/>
      <c r="H193" s="31"/>
      <c r="I193" s="205">
        <f>I176</f>
        <v>13232753.08</v>
      </c>
    </row>
    <row r="194" spans="1:9" ht="23.25" customHeight="1">
      <c r="A194" s="26"/>
      <c r="B194" s="26"/>
      <c r="C194" s="32"/>
      <c r="D194" s="33" t="s">
        <v>89</v>
      </c>
      <c r="E194" s="34"/>
      <c r="F194" s="34"/>
      <c r="G194" s="35"/>
      <c r="H194" s="37"/>
      <c r="I194" s="39"/>
    </row>
    <row r="195" spans="1:9" ht="23.25" customHeight="1">
      <c r="A195" s="36">
        <v>58000</v>
      </c>
      <c r="B195" s="36"/>
      <c r="C195" s="36">
        <v>0</v>
      </c>
      <c r="D195" s="37" t="s">
        <v>41</v>
      </c>
      <c r="E195" s="34"/>
      <c r="F195" s="34"/>
      <c r="G195" s="35"/>
      <c r="H195" s="38">
        <v>411000</v>
      </c>
      <c r="I195" s="39">
        <v>0</v>
      </c>
    </row>
    <row r="196" spans="1:9" ht="23.25" customHeight="1">
      <c r="A196" s="36">
        <v>26000</v>
      </c>
      <c r="B196" s="36"/>
      <c r="C196" s="36">
        <f>1636.4+2740+6047.6</f>
        <v>10424</v>
      </c>
      <c r="D196" s="37" t="s">
        <v>90</v>
      </c>
      <c r="E196" s="34"/>
      <c r="F196" s="34"/>
      <c r="G196" s="35"/>
      <c r="H196" s="38">
        <v>412000</v>
      </c>
      <c r="I196" s="36">
        <f>20+50+5900+77.6</f>
        <v>6047.6</v>
      </c>
    </row>
    <row r="197" spans="1:9" ht="23.25" customHeight="1">
      <c r="A197" s="36">
        <v>70000</v>
      </c>
      <c r="B197" s="36"/>
      <c r="C197" s="36">
        <v>0</v>
      </c>
      <c r="D197" s="37" t="s">
        <v>42</v>
      </c>
      <c r="E197" s="34"/>
      <c r="F197" s="34"/>
      <c r="G197" s="35"/>
      <c r="H197" s="38">
        <v>413000</v>
      </c>
      <c r="I197" s="36">
        <v>0</v>
      </c>
    </row>
    <row r="198" spans="1:9" ht="23.25" customHeight="1">
      <c r="A198" s="36">
        <v>41000</v>
      </c>
      <c r="B198" s="36"/>
      <c r="C198" s="36">
        <f>819.4+12550</f>
        <v>13369.4</v>
      </c>
      <c r="D198" s="37" t="s">
        <v>43</v>
      </c>
      <c r="E198" s="34"/>
      <c r="F198" s="34"/>
      <c r="G198" s="35"/>
      <c r="H198" s="38">
        <v>415000</v>
      </c>
      <c r="I198" s="39">
        <v>0</v>
      </c>
    </row>
    <row r="199" spans="1:9" ht="23.25" customHeight="1">
      <c r="A199" s="36">
        <v>13150500</v>
      </c>
      <c r="B199" s="36"/>
      <c r="C199" s="36">
        <f>788344.77+1330617.03+1065104.85</f>
        <v>3184066.65</v>
      </c>
      <c r="D199" s="37" t="s">
        <v>44</v>
      </c>
      <c r="E199" s="34"/>
      <c r="F199" s="34"/>
      <c r="G199" s="35"/>
      <c r="H199" s="40">
        <v>420000</v>
      </c>
      <c r="I199" s="39">
        <f>732974.31+111564.98+54104.3+126002.78+7503.48+32955</f>
        <v>1065104.85</v>
      </c>
    </row>
    <row r="200" spans="1:9" ht="23.25" customHeight="1">
      <c r="A200" s="36">
        <v>14304500</v>
      </c>
      <c r="B200" s="36"/>
      <c r="C200" s="36">
        <v>3261953</v>
      </c>
      <c r="D200" s="37" t="s">
        <v>101</v>
      </c>
      <c r="E200" s="34"/>
      <c r="F200" s="34"/>
      <c r="G200" s="35"/>
      <c r="H200" s="40">
        <v>430000</v>
      </c>
      <c r="I200" s="39">
        <v>0</v>
      </c>
    </row>
    <row r="201" spans="1:9" ht="23.25" customHeight="1" thickBot="1">
      <c r="A201" s="41">
        <f>SUM(A195:A200)</f>
        <v>27650000</v>
      </c>
      <c r="B201" s="41"/>
      <c r="C201" s="42">
        <f>SUM(C195:C200)</f>
        <v>6469813.05</v>
      </c>
      <c r="D201" s="37"/>
      <c r="E201" s="34"/>
      <c r="F201" s="34"/>
      <c r="G201" s="35"/>
      <c r="H201" s="40"/>
      <c r="I201" s="41">
        <f>SUM(I195:I200)</f>
        <v>1071152.4500000002</v>
      </c>
    </row>
    <row r="202" spans="1:9" ht="23.25" customHeight="1" thickTop="1">
      <c r="A202" s="36"/>
      <c r="B202" s="36"/>
      <c r="C202" s="36">
        <v>2566</v>
      </c>
      <c r="D202" s="37" t="s">
        <v>231</v>
      </c>
      <c r="E202" s="34"/>
      <c r="F202" s="34"/>
      <c r="G202" s="35"/>
      <c r="H202" s="40">
        <v>110605</v>
      </c>
      <c r="I202" s="36"/>
    </row>
    <row r="203" spans="1:9" ht="23.25" customHeight="1">
      <c r="A203" s="36"/>
      <c r="B203" s="36"/>
      <c r="C203" s="36">
        <f>440600+564400</f>
        <v>1005000</v>
      </c>
      <c r="D203" s="37" t="s">
        <v>103</v>
      </c>
      <c r="E203" s="34"/>
      <c r="F203" s="34"/>
      <c r="G203" s="35"/>
      <c r="H203" s="40"/>
      <c r="I203" s="36">
        <f>140000+424400</f>
        <v>564400</v>
      </c>
    </row>
    <row r="204" spans="1:9" ht="23.25" customHeight="1">
      <c r="A204" s="26"/>
      <c r="B204" s="26"/>
      <c r="C204" s="43">
        <f>5599.5+4923.02+13007.36</f>
        <v>23529.88</v>
      </c>
      <c r="D204" s="44" t="s">
        <v>232</v>
      </c>
      <c r="E204" s="45"/>
      <c r="F204" s="34"/>
      <c r="G204" s="35"/>
      <c r="H204" s="40"/>
      <c r="I204" s="46">
        <v>13007.36</v>
      </c>
    </row>
    <row r="205" spans="1:9" ht="23.25" customHeight="1">
      <c r="A205" s="26"/>
      <c r="B205" s="26"/>
      <c r="C205" s="43">
        <f>429650</f>
        <v>429650</v>
      </c>
      <c r="D205" s="44" t="s">
        <v>233</v>
      </c>
      <c r="E205" s="45"/>
      <c r="F205" s="34"/>
      <c r="G205" s="47"/>
      <c r="H205" s="40"/>
      <c r="I205" s="48"/>
    </row>
    <row r="206" spans="1:9" ht="23.25" customHeight="1">
      <c r="A206" s="26"/>
      <c r="B206" s="26"/>
      <c r="C206" s="43">
        <f>7213+6713+7283</f>
        <v>21209</v>
      </c>
      <c r="D206" s="44" t="s">
        <v>234</v>
      </c>
      <c r="E206" s="45"/>
      <c r="F206" s="34"/>
      <c r="G206" s="35"/>
      <c r="H206" s="49"/>
      <c r="I206" s="48">
        <v>7283</v>
      </c>
    </row>
    <row r="207" spans="1:9" ht="23.25" customHeight="1">
      <c r="A207" s="26"/>
      <c r="B207" s="26"/>
      <c r="C207" s="43">
        <v>100000</v>
      </c>
      <c r="D207" s="44" t="s">
        <v>235</v>
      </c>
      <c r="E207" s="45"/>
      <c r="F207" s="34"/>
      <c r="G207" s="35"/>
      <c r="H207" s="40"/>
      <c r="I207" s="48"/>
    </row>
    <row r="208" spans="1:9" ht="23.25" customHeight="1">
      <c r="A208" s="26"/>
      <c r="B208" s="26"/>
      <c r="C208" s="43">
        <v>24450</v>
      </c>
      <c r="D208" s="44" t="s">
        <v>236</v>
      </c>
      <c r="E208" s="45"/>
      <c r="F208" s="34"/>
      <c r="G208" s="35"/>
      <c r="H208" s="40"/>
      <c r="I208" s="48"/>
    </row>
    <row r="209" spans="1:9" ht="23.25" customHeight="1">
      <c r="A209" s="26"/>
      <c r="B209" s="26"/>
      <c r="C209" s="43">
        <f>29388+51250+29187</f>
        <v>109825</v>
      </c>
      <c r="D209" s="44" t="s">
        <v>239</v>
      </c>
      <c r="E209" s="45"/>
      <c r="F209" s="34"/>
      <c r="G209" s="35"/>
      <c r="H209" s="40"/>
      <c r="I209" s="48">
        <v>29187</v>
      </c>
    </row>
    <row r="210" spans="1:9" ht="23.25" customHeight="1">
      <c r="A210" s="26"/>
      <c r="B210" s="26"/>
      <c r="C210" s="43">
        <f>63100+63100+63100</f>
        <v>189300</v>
      </c>
      <c r="D210" s="44" t="s">
        <v>240</v>
      </c>
      <c r="E210" s="45"/>
      <c r="F210" s="34"/>
      <c r="G210" s="34"/>
      <c r="H210" s="40"/>
      <c r="I210" s="47">
        <v>63100</v>
      </c>
    </row>
    <row r="211" spans="1:9" ht="23.25" customHeight="1">
      <c r="A211" s="26"/>
      <c r="B211" s="26"/>
      <c r="C211" s="43">
        <f>81086+54466+78186</f>
        <v>213738</v>
      </c>
      <c r="D211" s="44" t="s">
        <v>241</v>
      </c>
      <c r="E211" s="45"/>
      <c r="F211" s="34"/>
      <c r="G211" s="34"/>
      <c r="H211" s="40"/>
      <c r="I211" s="47">
        <v>78186</v>
      </c>
    </row>
    <row r="212" spans="1:9" ht="23.25" customHeight="1">
      <c r="A212" s="26"/>
      <c r="B212" s="26"/>
      <c r="C212" s="43">
        <f>22027+22027+27315</f>
        <v>71369</v>
      </c>
      <c r="D212" s="44" t="s">
        <v>242</v>
      </c>
      <c r="E212" s="45"/>
      <c r="F212" s="34"/>
      <c r="G212" s="34"/>
      <c r="H212" s="40"/>
      <c r="I212" s="47">
        <v>27315</v>
      </c>
    </row>
    <row r="213" spans="1:9" ht="23.25" customHeight="1">
      <c r="A213" s="26"/>
      <c r="B213" s="26"/>
      <c r="C213" s="43">
        <v>7.1</v>
      </c>
      <c r="D213" s="44" t="s">
        <v>38</v>
      </c>
      <c r="E213" s="45"/>
      <c r="F213" s="34"/>
      <c r="G213" s="34"/>
      <c r="H213" s="40"/>
      <c r="I213" s="47"/>
    </row>
    <row r="214" spans="1:9" ht="23.25" customHeight="1">
      <c r="A214" s="26"/>
      <c r="B214" s="26"/>
      <c r="C214" s="43"/>
      <c r="D214" s="44"/>
      <c r="E214" s="45"/>
      <c r="F214" s="34"/>
      <c r="G214" s="34"/>
      <c r="H214" s="40"/>
      <c r="I214" s="47"/>
    </row>
    <row r="215" spans="1:9" ht="23.25" customHeight="1" thickBot="1">
      <c r="A215" s="26"/>
      <c r="B215" s="26"/>
      <c r="C215" s="52">
        <f>SUM(C202:C214)</f>
        <v>2190643.98</v>
      </c>
      <c r="D215" s="37"/>
      <c r="E215" s="34"/>
      <c r="F215" s="34"/>
      <c r="G215" s="34"/>
      <c r="H215" s="35"/>
      <c r="I215" s="54">
        <f>SUM(I202:I213)</f>
        <v>782478.36</v>
      </c>
    </row>
    <row r="216" spans="1:9" ht="23.25" customHeight="1" thickBot="1">
      <c r="A216" s="55">
        <f>SUM(A201)</f>
        <v>27650000</v>
      </c>
      <c r="B216" s="211"/>
      <c r="C216" s="41">
        <f>SUM(C201+C215)</f>
        <v>8660457.03</v>
      </c>
      <c r="D216" s="37"/>
      <c r="E216" s="34"/>
      <c r="F216" s="56" t="s">
        <v>106</v>
      </c>
      <c r="G216" s="34"/>
      <c r="H216" s="35"/>
      <c r="I216" s="41">
        <f>SUM(I201+I215)</f>
        <v>1853630.81</v>
      </c>
    </row>
    <row r="217" spans="1:9" ht="23.25" customHeight="1">
      <c r="A217" s="57"/>
      <c r="B217" s="57"/>
      <c r="C217" s="57"/>
      <c r="D217" s="34"/>
      <c r="E217" s="34"/>
      <c r="F217" s="56"/>
      <c r="G217" s="34"/>
      <c r="H217" s="34"/>
      <c r="I217" s="57"/>
    </row>
    <row r="218" spans="1:9" ht="23.25" customHeight="1">
      <c r="A218" s="57"/>
      <c r="B218" s="57"/>
      <c r="C218" s="57"/>
      <c r="D218" s="34"/>
      <c r="E218" s="34"/>
      <c r="F218" s="56"/>
      <c r="G218" s="34"/>
      <c r="H218" s="34"/>
      <c r="I218" s="57"/>
    </row>
    <row r="219" spans="1:9" ht="23.25" customHeight="1">
      <c r="A219" s="57"/>
      <c r="B219" s="57"/>
      <c r="C219" s="57"/>
      <c r="D219" s="34"/>
      <c r="E219" s="34"/>
      <c r="F219" s="56"/>
      <c r="G219" s="34"/>
      <c r="H219" s="34"/>
      <c r="I219" s="57"/>
    </row>
    <row r="220" spans="1:9" ht="23.25" customHeight="1">
      <c r="A220" s="57"/>
      <c r="B220" s="57"/>
      <c r="C220" s="57"/>
      <c r="D220" s="34"/>
      <c r="E220" s="34"/>
      <c r="F220" s="56"/>
      <c r="G220" s="34"/>
      <c r="H220" s="34"/>
      <c r="I220" s="57"/>
    </row>
    <row r="221" spans="1:9" ht="23.25" customHeight="1">
      <c r="A221" s="57"/>
      <c r="B221" s="57"/>
      <c r="C221" s="57"/>
      <c r="D221" s="34"/>
      <c r="E221" s="34"/>
      <c r="F221" s="56"/>
      <c r="G221" s="34"/>
      <c r="H221" s="34"/>
      <c r="I221" s="57"/>
    </row>
    <row r="222" spans="1:9" ht="23.25" customHeight="1">
      <c r="A222" s="57"/>
      <c r="B222" s="57"/>
      <c r="C222" s="57"/>
      <c r="D222" s="34"/>
      <c r="E222" s="34"/>
      <c r="F222" s="56"/>
      <c r="G222" s="34"/>
      <c r="H222" s="34"/>
      <c r="I222" s="57"/>
    </row>
    <row r="223" spans="1:9" ht="23.25" customHeight="1">
      <c r="A223" s="57"/>
      <c r="B223" s="57"/>
      <c r="C223" s="57"/>
      <c r="D223" s="34"/>
      <c r="E223" s="34"/>
      <c r="F223" s="56"/>
      <c r="G223" s="34"/>
      <c r="H223" s="34"/>
      <c r="I223" s="57"/>
    </row>
    <row r="224" spans="1:9" ht="23.25" customHeight="1">
      <c r="A224" s="57"/>
      <c r="B224" s="57"/>
      <c r="C224" s="57"/>
      <c r="D224" s="34"/>
      <c r="E224" s="34"/>
      <c r="F224" s="56"/>
      <c r="G224" s="34"/>
      <c r="H224" s="34"/>
      <c r="I224" s="57"/>
    </row>
    <row r="225" spans="1:9" ht="23.25" customHeight="1">
      <c r="A225" s="57"/>
      <c r="B225" s="57"/>
      <c r="C225" s="57"/>
      <c r="D225" s="34"/>
      <c r="E225" s="34"/>
      <c r="F225" s="56"/>
      <c r="G225" s="34"/>
      <c r="H225" s="34"/>
      <c r="I225" s="57"/>
    </row>
    <row r="226" spans="1:9" ht="23.25" customHeight="1">
      <c r="A226" s="57"/>
      <c r="B226" s="57"/>
      <c r="C226" s="57"/>
      <c r="D226" s="34"/>
      <c r="E226" s="34"/>
      <c r="F226" s="56"/>
      <c r="G226" s="34"/>
      <c r="H226" s="34"/>
      <c r="I226" s="57"/>
    </row>
    <row r="227" spans="1:9" ht="23.25" customHeight="1">
      <c r="A227" s="57"/>
      <c r="B227" s="57"/>
      <c r="C227" s="57"/>
      <c r="D227" s="34"/>
      <c r="E227" s="34"/>
      <c r="F227" s="56"/>
      <c r="G227" s="34"/>
      <c r="H227" s="34"/>
      <c r="I227" s="57"/>
    </row>
    <row r="228" spans="1:9" ht="23.25" customHeight="1">
      <c r="A228" s="57"/>
      <c r="B228" s="57"/>
      <c r="C228" s="57"/>
      <c r="D228" s="34"/>
      <c r="E228" s="34"/>
      <c r="F228" s="56"/>
      <c r="G228" s="34"/>
      <c r="H228" s="34"/>
      <c r="I228" s="57"/>
    </row>
    <row r="229" spans="1:9" ht="23.25" customHeight="1">
      <c r="A229" s="57"/>
      <c r="B229" s="57"/>
      <c r="C229" s="57"/>
      <c r="D229" s="34"/>
      <c r="E229" s="34"/>
      <c r="F229" s="56"/>
      <c r="G229" s="34"/>
      <c r="H229" s="34"/>
      <c r="I229" s="57"/>
    </row>
    <row r="230" spans="1:9" ht="23.25" customHeight="1">
      <c r="A230" s="57"/>
      <c r="B230" s="57"/>
      <c r="C230" s="57"/>
      <c r="D230" s="34"/>
      <c r="E230" s="34"/>
      <c r="F230" s="56"/>
      <c r="G230" s="34"/>
      <c r="H230" s="34"/>
      <c r="I230" s="57"/>
    </row>
    <row r="231" spans="1:9" ht="23.25" customHeight="1">
      <c r="A231" s="57"/>
      <c r="B231" s="57"/>
      <c r="C231" s="57"/>
      <c r="D231" s="34"/>
      <c r="E231" s="34"/>
      <c r="F231" s="56"/>
      <c r="G231" s="34"/>
      <c r="H231" s="34"/>
      <c r="I231" s="57"/>
    </row>
    <row r="232" spans="1:9" ht="23.25" customHeight="1">
      <c r="A232" s="57"/>
      <c r="B232" s="57"/>
      <c r="C232" s="57"/>
      <c r="D232" s="34"/>
      <c r="E232" s="34"/>
      <c r="F232" s="56"/>
      <c r="G232" s="34"/>
      <c r="H232" s="34"/>
      <c r="I232" s="57"/>
    </row>
    <row r="233" spans="1:9" ht="23.25" customHeight="1">
      <c r="A233" s="333">
        <v>2</v>
      </c>
      <c r="B233" s="333"/>
      <c r="C233" s="333"/>
      <c r="D233" s="333"/>
      <c r="E233" s="333"/>
      <c r="F233" s="333"/>
      <c r="G233" s="333"/>
      <c r="H233" s="333"/>
      <c r="I233" s="333"/>
    </row>
    <row r="234" spans="1:9" ht="23.25" customHeight="1">
      <c r="A234" s="350" t="s">
        <v>91</v>
      </c>
      <c r="B234" s="351"/>
      <c r="C234" s="352"/>
      <c r="D234" s="58"/>
      <c r="E234" s="58"/>
      <c r="F234" s="58"/>
      <c r="G234" s="58"/>
      <c r="H234" s="59" t="s">
        <v>86</v>
      </c>
      <c r="I234" s="60" t="s">
        <v>88</v>
      </c>
    </row>
    <row r="235" spans="1:9" ht="23.25" customHeight="1">
      <c r="A235" s="59" t="s">
        <v>39</v>
      </c>
      <c r="B235" s="59" t="s">
        <v>228</v>
      </c>
      <c r="C235" s="59" t="s">
        <v>85</v>
      </c>
      <c r="D235" s="353" t="s">
        <v>78</v>
      </c>
      <c r="E235" s="353"/>
      <c r="F235" s="353"/>
      <c r="G235" s="353"/>
      <c r="H235" s="62" t="s">
        <v>87</v>
      </c>
      <c r="I235" s="59" t="s">
        <v>85</v>
      </c>
    </row>
    <row r="236" spans="1:9" ht="23.25" customHeight="1">
      <c r="A236" s="64" t="s">
        <v>40</v>
      </c>
      <c r="B236" s="216" t="s">
        <v>229</v>
      </c>
      <c r="C236" s="64" t="s">
        <v>40</v>
      </c>
      <c r="D236" s="65"/>
      <c r="E236" s="65"/>
      <c r="F236" s="65"/>
      <c r="G236" s="65"/>
      <c r="H236" s="66"/>
      <c r="I236" s="64" t="s">
        <v>40</v>
      </c>
    </row>
    <row r="237" spans="1:9" ht="23.25" customHeight="1">
      <c r="A237" s="68"/>
      <c r="B237" s="68"/>
      <c r="C237" s="68"/>
      <c r="D237" s="69" t="s">
        <v>92</v>
      </c>
      <c r="E237" s="70"/>
      <c r="F237" s="70"/>
      <c r="G237" s="70"/>
      <c r="H237" s="71"/>
      <c r="I237" s="72"/>
    </row>
    <row r="238" spans="1:9" ht="23.25" customHeight="1">
      <c r="A238" s="73">
        <v>6761806</v>
      </c>
      <c r="B238" s="73"/>
      <c r="C238" s="73">
        <f>572455+479826+930683</f>
        <v>1982964</v>
      </c>
      <c r="D238" s="70" t="s">
        <v>45</v>
      </c>
      <c r="F238" s="70"/>
      <c r="G238" s="70"/>
      <c r="H238" s="74">
        <v>510000</v>
      </c>
      <c r="I238" s="73">
        <f>506283+424400</f>
        <v>930683</v>
      </c>
    </row>
    <row r="239" spans="1:9" ht="23.25" customHeight="1">
      <c r="A239" s="73">
        <v>2484720</v>
      </c>
      <c r="B239" s="73"/>
      <c r="C239" s="73">
        <f>I239+207060+207060</f>
        <v>621180</v>
      </c>
      <c r="D239" s="70" t="s">
        <v>135</v>
      </c>
      <c r="F239" s="70"/>
      <c r="G239" s="70"/>
      <c r="H239" s="74">
        <v>521000</v>
      </c>
      <c r="I239" s="75">
        <v>207060</v>
      </c>
    </row>
    <row r="240" spans="1:9" ht="23.25" customHeight="1">
      <c r="A240" s="73">
        <f>5864260-162420</f>
        <v>5701840</v>
      </c>
      <c r="B240" s="73"/>
      <c r="C240" s="73">
        <f>340780+340780+340780</f>
        <v>1022340</v>
      </c>
      <c r="D240" s="70" t="s">
        <v>107</v>
      </c>
      <c r="F240" s="70"/>
      <c r="G240" s="70"/>
      <c r="H240" s="74">
        <v>522000</v>
      </c>
      <c r="I240" s="75">
        <v>340780</v>
      </c>
    </row>
    <row r="241" spans="1:9" ht="23.25" customHeight="1">
      <c r="A241" s="73">
        <v>162420</v>
      </c>
      <c r="B241" s="73"/>
      <c r="C241" s="73">
        <f>13310+13310+13310</f>
        <v>39930</v>
      </c>
      <c r="D241" s="70" t="s">
        <v>93</v>
      </c>
      <c r="F241" s="70"/>
      <c r="G241" s="70"/>
      <c r="H241" s="74">
        <v>522000</v>
      </c>
      <c r="I241" s="75">
        <v>13310</v>
      </c>
    </row>
    <row r="242" spans="1:9" ht="23.25" customHeight="1">
      <c r="A242" s="73">
        <v>1938624</v>
      </c>
      <c r="B242" s="73"/>
      <c r="C242" s="73">
        <f>147075+137075+148475</f>
        <v>432625</v>
      </c>
      <c r="D242" s="70" t="s">
        <v>33</v>
      </c>
      <c r="F242" s="70"/>
      <c r="G242" s="70"/>
      <c r="H242" s="74">
        <v>522000</v>
      </c>
      <c r="I242" s="75">
        <v>148475</v>
      </c>
    </row>
    <row r="243" spans="1:9" ht="23.25" customHeight="1">
      <c r="A243" s="73">
        <v>895670</v>
      </c>
      <c r="B243" s="73"/>
      <c r="C243" s="73">
        <f>7400+15115+20000</f>
        <v>42515</v>
      </c>
      <c r="D243" s="70" t="s">
        <v>80</v>
      </c>
      <c r="F243" s="70"/>
      <c r="G243" s="70"/>
      <c r="H243" s="74">
        <v>531000</v>
      </c>
      <c r="I243" s="75">
        <v>20000</v>
      </c>
    </row>
    <row r="244" spans="1:9" ht="23.25" customHeight="1">
      <c r="A244" s="73">
        <v>4175470</v>
      </c>
      <c r="B244" s="73"/>
      <c r="C244" s="73">
        <f>112050+193659.29-0.9+428958.85</f>
        <v>734667.24</v>
      </c>
      <c r="D244" s="70" t="s">
        <v>81</v>
      </c>
      <c r="F244" s="70"/>
      <c r="G244" s="70"/>
      <c r="H244" s="76">
        <v>532000</v>
      </c>
      <c r="I244" s="75">
        <f>288958.85+140000</f>
        <v>428958.85</v>
      </c>
    </row>
    <row r="245" spans="1:9" ht="23.25" customHeight="1">
      <c r="A245" s="77">
        <v>1880550</v>
      </c>
      <c r="B245" s="77"/>
      <c r="C245" s="73">
        <f>90550+156574</f>
        <v>247124</v>
      </c>
      <c r="D245" s="70" t="s">
        <v>83</v>
      </c>
      <c r="F245" s="70"/>
      <c r="G245" s="70"/>
      <c r="H245" s="76">
        <v>533000</v>
      </c>
      <c r="I245" s="75">
        <v>156574</v>
      </c>
    </row>
    <row r="246" spans="1:9" ht="23.25" customHeight="1">
      <c r="A246" s="77">
        <v>216000</v>
      </c>
      <c r="B246" s="77"/>
      <c r="C246" s="73">
        <f>3992.17+10529.38+15448.29</f>
        <v>29969.84</v>
      </c>
      <c r="D246" s="70" t="s">
        <v>34</v>
      </c>
      <c r="F246" s="70"/>
      <c r="G246" s="70"/>
      <c r="H246" s="76">
        <v>534000</v>
      </c>
      <c r="I246" s="75">
        <v>15448.29</v>
      </c>
    </row>
    <row r="247" spans="1:9" ht="23.25" customHeight="1">
      <c r="A247" s="77">
        <v>301900</v>
      </c>
      <c r="B247" s="77"/>
      <c r="C247" s="73">
        <f>I247</f>
        <v>0</v>
      </c>
      <c r="D247" s="70" t="s">
        <v>36</v>
      </c>
      <c r="F247" s="70"/>
      <c r="G247" s="70"/>
      <c r="H247" s="76">
        <v>541000</v>
      </c>
      <c r="I247" s="75">
        <v>0</v>
      </c>
    </row>
    <row r="248" spans="1:9" ht="23.25" customHeight="1">
      <c r="A248" s="77">
        <v>2041000</v>
      </c>
      <c r="B248" s="77"/>
      <c r="C248" s="73">
        <f>I248</f>
        <v>0</v>
      </c>
      <c r="D248" s="70" t="s">
        <v>37</v>
      </c>
      <c r="F248" s="70"/>
      <c r="G248" s="70"/>
      <c r="H248" s="76">
        <v>542000</v>
      </c>
      <c r="I248" s="75">
        <v>0</v>
      </c>
    </row>
    <row r="249" spans="1:9" ht="23.25" customHeight="1">
      <c r="A249" s="77">
        <v>1090000</v>
      </c>
      <c r="B249" s="77"/>
      <c r="C249" s="73">
        <f>253000+20000</f>
        <v>273000</v>
      </c>
      <c r="D249" s="70" t="s">
        <v>35</v>
      </c>
      <c r="F249" s="70"/>
      <c r="G249" s="70"/>
      <c r="H249" s="76">
        <v>560000</v>
      </c>
      <c r="I249" s="73"/>
    </row>
    <row r="250" spans="1:9" ht="23.25" customHeight="1">
      <c r="A250" s="77"/>
      <c r="B250" s="77"/>
      <c r="C250" s="73">
        <f>I250</f>
        <v>0</v>
      </c>
      <c r="D250" s="70" t="s">
        <v>122</v>
      </c>
      <c r="F250" s="70"/>
      <c r="G250" s="70"/>
      <c r="H250" s="76">
        <v>550000</v>
      </c>
      <c r="I250" s="73"/>
    </row>
    <row r="251" spans="1:9" ht="23.25" customHeight="1" thickBot="1">
      <c r="A251" s="78">
        <f>SUM(A237:A250)</f>
        <v>27650000</v>
      </c>
      <c r="B251" s="78"/>
      <c r="C251" s="90">
        <f>SUM(C238:C250)</f>
        <v>5426315.08</v>
      </c>
      <c r="D251" s="70"/>
      <c r="E251" s="70"/>
      <c r="F251" s="70"/>
      <c r="G251" s="70"/>
      <c r="H251" s="76"/>
      <c r="I251" s="90">
        <f>SUM(I237:I250)</f>
        <v>2261289.14</v>
      </c>
    </row>
    <row r="252" spans="1:9" ht="23.25" customHeight="1" thickTop="1">
      <c r="A252" s="80"/>
      <c r="B252" s="80"/>
      <c r="C252" s="73">
        <v>2566</v>
      </c>
      <c r="D252" s="70" t="s">
        <v>201</v>
      </c>
      <c r="E252" s="70"/>
      <c r="F252" s="70"/>
      <c r="G252" s="70"/>
      <c r="H252" s="76"/>
      <c r="I252" s="73"/>
    </row>
    <row r="253" spans="1:9" ht="23.25" customHeight="1">
      <c r="A253" s="80"/>
      <c r="B253" s="80"/>
      <c r="C253" s="73">
        <f>440600+564400</f>
        <v>1005000</v>
      </c>
      <c r="D253" s="70" t="s">
        <v>103</v>
      </c>
      <c r="E253" s="70"/>
      <c r="F253" s="70"/>
      <c r="G253" s="70"/>
      <c r="H253" s="76"/>
      <c r="I253" s="73">
        <f>565400-1000</f>
        <v>564400</v>
      </c>
    </row>
    <row r="254" spans="1:9" ht="23.25" customHeight="1">
      <c r="A254" s="83"/>
      <c r="B254" s="83"/>
      <c r="C254" s="73">
        <f>475000+253800+392500</f>
        <v>1121300</v>
      </c>
      <c r="D254" s="82" t="s">
        <v>18</v>
      </c>
      <c r="E254" s="34"/>
      <c r="F254" s="70"/>
      <c r="G254" s="70"/>
      <c r="H254" s="74"/>
      <c r="I254" s="73">
        <v>392500</v>
      </c>
    </row>
    <row r="255" spans="1:9" ht="23.25" customHeight="1">
      <c r="A255" s="83"/>
      <c r="B255" s="83"/>
      <c r="C255" s="73">
        <v>166200</v>
      </c>
      <c r="D255" s="82" t="s">
        <v>389</v>
      </c>
      <c r="E255" s="34"/>
      <c r="F255" s="70"/>
      <c r="G255" s="70"/>
      <c r="H255" s="74"/>
      <c r="I255" s="73">
        <v>166200</v>
      </c>
    </row>
    <row r="256" spans="1:9" ht="23.25" customHeight="1">
      <c r="A256" s="81"/>
      <c r="B256" s="81"/>
      <c r="C256" s="73">
        <f>6988.19+5599.5+4923.02</f>
        <v>17510.71</v>
      </c>
      <c r="D256" s="82" t="s">
        <v>232</v>
      </c>
      <c r="E256" s="34"/>
      <c r="F256" s="70"/>
      <c r="G256" s="70"/>
      <c r="H256" s="74"/>
      <c r="I256" s="73">
        <v>4923.02</v>
      </c>
    </row>
    <row r="257" spans="1:9" ht="23.25" customHeight="1">
      <c r="A257" s="81"/>
      <c r="B257" s="81"/>
      <c r="C257" s="73">
        <v>16050</v>
      </c>
      <c r="D257" s="34" t="s">
        <v>237</v>
      </c>
      <c r="F257" s="70"/>
      <c r="G257" s="70"/>
      <c r="H257" s="76">
        <v>300000</v>
      </c>
      <c r="I257" s="73"/>
    </row>
    <row r="258" spans="1:9" ht="23.25" customHeight="1">
      <c r="A258" s="81"/>
      <c r="B258" s="81"/>
      <c r="C258" s="73">
        <f>13926+7283</f>
        <v>21209</v>
      </c>
      <c r="D258" s="82" t="s">
        <v>238</v>
      </c>
      <c r="E258" s="45"/>
      <c r="F258" s="70"/>
      <c r="G258" s="70"/>
      <c r="H258" s="74">
        <v>230000</v>
      </c>
      <c r="I258" s="73">
        <v>7283</v>
      </c>
    </row>
    <row r="259" spans="1:9" ht="23.25" customHeight="1">
      <c r="A259" s="81"/>
      <c r="B259" s="81"/>
      <c r="C259" s="73">
        <v>100000</v>
      </c>
      <c r="D259" s="82" t="s">
        <v>77</v>
      </c>
      <c r="E259" s="45"/>
      <c r="F259" s="70"/>
      <c r="G259" s="70"/>
      <c r="H259" s="74">
        <v>110605</v>
      </c>
      <c r="I259" s="73"/>
    </row>
    <row r="260" spans="1:9" ht="23.25" customHeight="1">
      <c r="A260" s="81"/>
      <c r="B260" s="81"/>
      <c r="C260" s="77">
        <f>29388+51250+29187</f>
        <v>109825</v>
      </c>
      <c r="D260" s="213" t="s">
        <v>239</v>
      </c>
      <c r="E260" s="45"/>
      <c r="F260" s="34"/>
      <c r="G260" s="34"/>
      <c r="H260" s="214"/>
      <c r="I260" s="47">
        <v>29187</v>
      </c>
    </row>
    <row r="261" spans="1:9" ht="23.25" customHeight="1">
      <c r="A261" s="81"/>
      <c r="B261" s="81"/>
      <c r="C261" s="77">
        <f>63100+63100+63100</f>
        <v>189300</v>
      </c>
      <c r="D261" s="213" t="s">
        <v>240</v>
      </c>
      <c r="E261" s="45"/>
      <c r="F261" s="34"/>
      <c r="G261" s="34"/>
      <c r="H261" s="214"/>
      <c r="I261" s="47">
        <v>63100</v>
      </c>
    </row>
    <row r="262" spans="1:9" ht="23.25" customHeight="1">
      <c r="A262" s="81"/>
      <c r="B262" s="81"/>
      <c r="C262" s="77">
        <f>81086+54466+78186</f>
        <v>213738</v>
      </c>
      <c r="D262" s="213" t="s">
        <v>241</v>
      </c>
      <c r="E262" s="45"/>
      <c r="F262" s="34"/>
      <c r="G262" s="34"/>
      <c r="H262" s="214"/>
      <c r="I262" s="47">
        <v>78186</v>
      </c>
    </row>
    <row r="263" spans="1:9" ht="23.25" customHeight="1">
      <c r="A263" s="81"/>
      <c r="B263" s="81"/>
      <c r="C263" s="77">
        <f>22027+22027+27315</f>
        <v>71369</v>
      </c>
      <c r="D263" s="213" t="s">
        <v>242</v>
      </c>
      <c r="E263" s="45"/>
      <c r="F263" s="34"/>
      <c r="G263" s="34"/>
      <c r="H263" s="214"/>
      <c r="I263" s="47">
        <v>27315</v>
      </c>
    </row>
    <row r="264" spans="1:9" ht="23.25" customHeight="1">
      <c r="A264" s="81"/>
      <c r="B264" s="81"/>
      <c r="C264" s="73"/>
      <c r="D264" s="82"/>
      <c r="E264" s="45"/>
      <c r="F264" s="70"/>
      <c r="G264" s="70"/>
      <c r="H264" s="74"/>
      <c r="I264" s="73"/>
    </row>
    <row r="265" spans="1:9" ht="23.25" customHeight="1">
      <c r="A265" s="85"/>
      <c r="B265" s="85"/>
      <c r="C265" s="86">
        <f>SUM(C252:C264)</f>
        <v>3034067.71</v>
      </c>
      <c r="D265" s="82"/>
      <c r="E265" s="45"/>
      <c r="F265" s="70"/>
      <c r="G265" s="70"/>
      <c r="H265" s="87"/>
      <c r="I265" s="88">
        <f>SUM(I252:I264)</f>
        <v>1333094.02</v>
      </c>
    </row>
    <row r="266" spans="1:9" ht="23.25" customHeight="1" thickBot="1">
      <c r="A266" s="89">
        <f>SUM(A251)</f>
        <v>27650000</v>
      </c>
      <c r="B266" s="89"/>
      <c r="C266" s="90">
        <f>SUM(C251+C265)</f>
        <v>8460382.79</v>
      </c>
      <c r="D266" s="333" t="s">
        <v>94</v>
      </c>
      <c r="E266" s="333"/>
      <c r="F266" s="333"/>
      <c r="G266" s="333"/>
      <c r="H266" s="34"/>
      <c r="I266" s="90">
        <f>SUM(I251+I265)</f>
        <v>3594383.16</v>
      </c>
    </row>
    <row r="267" spans="1:9" ht="23.25" customHeight="1" thickTop="1">
      <c r="A267" s="70"/>
      <c r="B267" s="70"/>
      <c r="C267" s="68"/>
      <c r="D267" s="333" t="s">
        <v>95</v>
      </c>
      <c r="E267" s="333"/>
      <c r="F267" s="333"/>
      <c r="G267" s="333"/>
      <c r="H267" s="70"/>
      <c r="I267" s="91"/>
    </row>
    <row r="268" spans="1:9" ht="23.25" customHeight="1">
      <c r="A268" s="70"/>
      <c r="B268" s="70"/>
      <c r="C268" s="68"/>
      <c r="D268" s="333" t="s">
        <v>96</v>
      </c>
      <c r="E268" s="333"/>
      <c r="F268" s="333"/>
      <c r="G268" s="333"/>
      <c r="H268" s="70"/>
      <c r="I268" s="91"/>
    </row>
    <row r="269" spans="1:9" ht="23.25" customHeight="1">
      <c r="A269" s="69"/>
      <c r="B269" s="69"/>
      <c r="C269" s="92">
        <f>C216-C266</f>
        <v>200074.24000000022</v>
      </c>
      <c r="D269" s="348" t="s">
        <v>98</v>
      </c>
      <c r="E269" s="348"/>
      <c r="F269" s="348"/>
      <c r="G269" s="348"/>
      <c r="H269" s="69"/>
      <c r="I269" s="92">
        <f>I216-I266</f>
        <v>-1740752.35</v>
      </c>
    </row>
    <row r="270" spans="1:9" ht="23.25" customHeight="1">
      <c r="A270" s="69"/>
      <c r="B270" s="69"/>
      <c r="C270" s="95">
        <f>SUM(C193+C216-C266)</f>
        <v>11492000.73</v>
      </c>
      <c r="D270" s="348" t="s">
        <v>97</v>
      </c>
      <c r="E270" s="348"/>
      <c r="F270" s="348"/>
      <c r="G270" s="348"/>
      <c r="H270" s="69"/>
      <c r="I270" s="95">
        <f>SUM(I193+I216-I266)</f>
        <v>11492000.73</v>
      </c>
    </row>
    <row r="271" spans="1:11" ht="23.25" customHeight="1">
      <c r="A271" s="69"/>
      <c r="B271" s="69"/>
      <c r="C271" s="217"/>
      <c r="D271" s="206"/>
      <c r="E271" s="206"/>
      <c r="F271" s="206"/>
      <c r="G271" s="206"/>
      <c r="H271" s="69"/>
      <c r="I271" s="217"/>
      <c r="K271" s="51"/>
    </row>
    <row r="272" spans="1:11" ht="23.25" customHeight="1">
      <c r="A272" s="70"/>
      <c r="B272" s="70"/>
      <c r="C272" s="70"/>
      <c r="D272" s="70"/>
      <c r="E272" s="70"/>
      <c r="F272" s="70"/>
      <c r="G272" s="70"/>
      <c r="H272" s="70"/>
      <c r="I272" s="70"/>
      <c r="K272" s="51"/>
    </row>
    <row r="273" spans="1:9" ht="23.25" customHeight="1">
      <c r="A273" s="349" t="s">
        <v>262</v>
      </c>
      <c r="B273" s="349"/>
      <c r="C273" s="349"/>
      <c r="D273" s="349" t="s">
        <v>263</v>
      </c>
      <c r="E273" s="349"/>
      <c r="F273" s="349"/>
      <c r="G273" s="349" t="s">
        <v>5</v>
      </c>
      <c r="H273" s="349"/>
      <c r="I273" s="349"/>
    </row>
    <row r="274" spans="1:9" ht="23.25" customHeight="1">
      <c r="A274" s="349" t="s">
        <v>259</v>
      </c>
      <c r="B274" s="349"/>
      <c r="C274" s="349"/>
      <c r="D274" s="333" t="s">
        <v>126</v>
      </c>
      <c r="E274" s="333"/>
      <c r="F274" s="333"/>
      <c r="G274" s="333" t="s">
        <v>264</v>
      </c>
      <c r="H274" s="333"/>
      <c r="I274" s="333"/>
    </row>
    <row r="275" spans="1:9" ht="23.25" customHeight="1">
      <c r="A275" s="346" t="s">
        <v>260</v>
      </c>
      <c r="B275" s="346"/>
      <c r="C275" s="346"/>
      <c r="D275" s="347" t="s">
        <v>127</v>
      </c>
      <c r="E275" s="347"/>
      <c r="F275" s="347"/>
      <c r="G275" s="347" t="s">
        <v>265</v>
      </c>
      <c r="H275" s="347"/>
      <c r="I275" s="347"/>
    </row>
    <row r="276" spans="1:6" ht="23.25" customHeight="1">
      <c r="A276" s="346" t="s">
        <v>261</v>
      </c>
      <c r="B276" s="346"/>
      <c r="C276" s="346"/>
      <c r="D276" s="97"/>
      <c r="E276" s="97"/>
      <c r="F276" s="97"/>
    </row>
    <row r="277" spans="1:9" ht="23.25" customHeight="1">
      <c r="A277" s="97"/>
      <c r="B277" s="97"/>
      <c r="C277" s="97"/>
      <c r="D277" s="97"/>
      <c r="E277" s="97"/>
      <c r="F277" s="97"/>
      <c r="G277" s="97"/>
      <c r="H277" s="97"/>
      <c r="I277" s="97"/>
    </row>
    <row r="278" spans="1:9" ht="23.25" customHeight="1">
      <c r="A278" s="97"/>
      <c r="B278" s="97"/>
      <c r="C278" s="97"/>
      <c r="D278" s="97"/>
      <c r="E278" s="97"/>
      <c r="F278" s="97"/>
      <c r="G278" s="97"/>
      <c r="H278" s="97"/>
      <c r="I278" s="97"/>
    </row>
    <row r="279" spans="1:9" ht="23.25" customHeight="1">
      <c r="A279" s="97"/>
      <c r="B279" s="97"/>
      <c r="C279" s="97"/>
      <c r="D279" s="97"/>
      <c r="E279" s="97"/>
      <c r="F279" s="97"/>
      <c r="G279" s="97"/>
      <c r="H279" s="97"/>
      <c r="I279" s="97"/>
    </row>
    <row r="280" spans="1:9" ht="23.25" customHeight="1">
      <c r="A280" s="97"/>
      <c r="B280" s="97"/>
      <c r="C280" s="97"/>
      <c r="D280" s="97"/>
      <c r="E280" s="97"/>
      <c r="F280" s="97"/>
      <c r="G280" s="97"/>
      <c r="H280" s="97"/>
      <c r="I280" s="97"/>
    </row>
    <row r="281" spans="1:9" ht="23.25" customHeight="1">
      <c r="A281" s="335" t="s">
        <v>132</v>
      </c>
      <c r="B281" s="335"/>
      <c r="C281" s="335"/>
      <c r="D281" s="335"/>
      <c r="E281" s="335"/>
      <c r="F281" s="335"/>
      <c r="G281" s="335"/>
      <c r="H281" s="335"/>
      <c r="I281" s="335"/>
    </row>
    <row r="282" spans="1:9" ht="23.25" customHeight="1">
      <c r="A282" s="348" t="s">
        <v>102</v>
      </c>
      <c r="B282" s="348"/>
      <c r="C282" s="348"/>
      <c r="D282" s="348"/>
      <c r="E282" s="348"/>
      <c r="F282" s="348"/>
      <c r="G282" s="348"/>
      <c r="H282" s="348"/>
      <c r="I282" s="348"/>
    </row>
    <row r="283" spans="1:9" ht="23.25" customHeight="1" thickBot="1">
      <c r="A283" s="206"/>
      <c r="B283" s="354" t="s">
        <v>401</v>
      </c>
      <c r="C283" s="354"/>
      <c r="D283" s="354"/>
      <c r="E283" s="354"/>
      <c r="F283" s="354"/>
      <c r="G283" s="354"/>
      <c r="H283" s="354"/>
      <c r="I283" s="206"/>
    </row>
    <row r="284" spans="1:9" ht="23.25" customHeight="1" thickBot="1">
      <c r="A284" s="355" t="s">
        <v>84</v>
      </c>
      <c r="B284" s="356"/>
      <c r="C284" s="357"/>
      <c r="D284" s="358" t="s">
        <v>78</v>
      </c>
      <c r="E284" s="359"/>
      <c r="F284" s="359"/>
      <c r="G284" s="360"/>
      <c r="H284" s="21" t="s">
        <v>86</v>
      </c>
      <c r="I284" s="22" t="s">
        <v>88</v>
      </c>
    </row>
    <row r="285" spans="1:9" ht="23.25" customHeight="1">
      <c r="A285" s="21" t="s">
        <v>39</v>
      </c>
      <c r="B285" s="21" t="s">
        <v>228</v>
      </c>
      <c r="C285" s="21" t="s">
        <v>85</v>
      </c>
      <c r="D285" s="361"/>
      <c r="E285" s="362"/>
      <c r="F285" s="362"/>
      <c r="G285" s="363"/>
      <c r="H285" s="23" t="s">
        <v>87</v>
      </c>
      <c r="I285" s="21" t="s">
        <v>85</v>
      </c>
    </row>
    <row r="286" spans="1:9" ht="23.25" customHeight="1" thickBot="1">
      <c r="A286" s="24" t="s">
        <v>40</v>
      </c>
      <c r="B286" s="212" t="s">
        <v>229</v>
      </c>
      <c r="C286" s="24" t="s">
        <v>40</v>
      </c>
      <c r="D286" s="364"/>
      <c r="E286" s="365"/>
      <c r="F286" s="365"/>
      <c r="G286" s="366"/>
      <c r="H286" s="25"/>
      <c r="I286" s="24" t="s">
        <v>40</v>
      </c>
    </row>
    <row r="287" spans="1:9" ht="23.25" customHeight="1">
      <c r="A287" s="26"/>
      <c r="B287" s="26"/>
      <c r="C287" s="27">
        <v>11291926.49</v>
      </c>
      <c r="D287" s="28" t="s">
        <v>99</v>
      </c>
      <c r="E287" s="29"/>
      <c r="F287" s="29"/>
      <c r="G287" s="30"/>
      <c r="H287" s="31"/>
      <c r="I287" s="205">
        <f>I270</f>
        <v>11492000.73</v>
      </c>
    </row>
    <row r="288" spans="1:9" ht="23.25" customHeight="1">
      <c r="A288" s="26"/>
      <c r="B288" s="26"/>
      <c r="C288" s="32"/>
      <c r="D288" s="33" t="s">
        <v>89</v>
      </c>
      <c r="E288" s="34"/>
      <c r="F288" s="34"/>
      <c r="G288" s="35"/>
      <c r="H288" s="37"/>
      <c r="I288" s="39"/>
    </row>
    <row r="289" spans="1:9" ht="23.25" customHeight="1">
      <c r="A289" s="36">
        <v>58000</v>
      </c>
      <c r="B289" s="36"/>
      <c r="C289" s="36">
        <v>11293.82</v>
      </c>
      <c r="D289" s="37" t="s">
        <v>41</v>
      </c>
      <c r="E289" s="34"/>
      <c r="F289" s="34"/>
      <c r="G289" s="35"/>
      <c r="H289" s="38">
        <v>411000</v>
      </c>
      <c r="I289" s="39">
        <f>1275.5+10018.32</f>
        <v>11293.82</v>
      </c>
    </row>
    <row r="290" spans="1:9" ht="23.25" customHeight="1">
      <c r="A290" s="36">
        <v>26000</v>
      </c>
      <c r="B290" s="36"/>
      <c r="C290" s="36">
        <f>1636.4+2740+6047.6+500</f>
        <v>10924</v>
      </c>
      <c r="D290" s="37" t="s">
        <v>90</v>
      </c>
      <c r="E290" s="34"/>
      <c r="F290" s="34"/>
      <c r="G290" s="35"/>
      <c r="H290" s="38">
        <v>412000</v>
      </c>
      <c r="I290" s="36">
        <f>500</f>
        <v>500</v>
      </c>
    </row>
    <row r="291" spans="1:9" ht="23.25" customHeight="1">
      <c r="A291" s="36">
        <v>70000</v>
      </c>
      <c r="B291" s="36"/>
      <c r="C291" s="36">
        <v>0</v>
      </c>
      <c r="D291" s="37" t="s">
        <v>42</v>
      </c>
      <c r="E291" s="34"/>
      <c r="F291" s="34"/>
      <c r="G291" s="35"/>
      <c r="H291" s="38">
        <v>413000</v>
      </c>
      <c r="I291" s="36"/>
    </row>
    <row r="292" spans="1:9" ht="23.25" customHeight="1">
      <c r="A292" s="36">
        <v>41000</v>
      </c>
      <c r="B292" s="36"/>
      <c r="C292" s="36">
        <f>819.4+12550</f>
        <v>13369.4</v>
      </c>
      <c r="D292" s="37" t="s">
        <v>43</v>
      </c>
      <c r="E292" s="34"/>
      <c r="F292" s="34"/>
      <c r="G292" s="35"/>
      <c r="H292" s="38">
        <v>415000</v>
      </c>
      <c r="I292" s="39"/>
    </row>
    <row r="293" spans="1:9" ht="23.25" customHeight="1">
      <c r="A293" s="36">
        <v>13150500</v>
      </c>
      <c r="B293" s="36"/>
      <c r="C293" s="36">
        <f>788344.77+1330617.03+1065104.85+446671.74</f>
        <v>3630738.3899999997</v>
      </c>
      <c r="D293" s="37" t="s">
        <v>44</v>
      </c>
      <c r="E293" s="34"/>
      <c r="F293" s="34"/>
      <c r="G293" s="35"/>
      <c r="H293" s="40">
        <v>420000</v>
      </c>
      <c r="I293" s="39">
        <f>143657.5+5991.83+77347.6+160661.4+5110.41+53903</f>
        <v>446671.73999999993</v>
      </c>
    </row>
    <row r="294" spans="1:9" ht="23.25" customHeight="1">
      <c r="A294" s="36">
        <v>14304500</v>
      </c>
      <c r="B294" s="36"/>
      <c r="C294" s="36">
        <f>3261953+3161934</f>
        <v>6423887</v>
      </c>
      <c r="D294" s="37" t="s">
        <v>101</v>
      </c>
      <c r="E294" s="34"/>
      <c r="F294" s="34"/>
      <c r="G294" s="35"/>
      <c r="H294" s="40">
        <v>430000</v>
      </c>
      <c r="I294" s="39">
        <f>1331631+1065800+175200+6000+110040+28264+70800+121199+253000</f>
        <v>3161934</v>
      </c>
    </row>
    <row r="295" spans="1:9" ht="23.25" customHeight="1" thickBot="1">
      <c r="A295" s="41">
        <f>SUM(A289:A294)</f>
        <v>27650000</v>
      </c>
      <c r="B295" s="41"/>
      <c r="C295" s="42">
        <f>SUM(C289:C294)</f>
        <v>10090212.61</v>
      </c>
      <c r="D295" s="37"/>
      <c r="E295" s="34"/>
      <c r="F295" s="34"/>
      <c r="G295" s="35"/>
      <c r="H295" s="40"/>
      <c r="I295" s="41">
        <f>SUM(I289:I294)</f>
        <v>3620399.56</v>
      </c>
    </row>
    <row r="296" spans="1:9" ht="23.25" customHeight="1" thickTop="1">
      <c r="A296" s="36"/>
      <c r="B296" s="36"/>
      <c r="C296" s="36">
        <v>2566</v>
      </c>
      <c r="D296" s="37" t="s">
        <v>231</v>
      </c>
      <c r="E296" s="34"/>
      <c r="F296" s="34"/>
      <c r="G296" s="35"/>
      <c r="H296" s="40">
        <v>110605</v>
      </c>
      <c r="I296" s="36"/>
    </row>
    <row r="297" spans="1:9" ht="23.25" customHeight="1">
      <c r="A297" s="36"/>
      <c r="B297" s="36"/>
      <c r="C297" s="36">
        <f>440600+564400+422000</f>
        <v>1427000</v>
      </c>
      <c r="D297" s="37" t="s">
        <v>103</v>
      </c>
      <c r="E297" s="34"/>
      <c r="F297" s="34"/>
      <c r="G297" s="35"/>
      <c r="H297" s="40"/>
      <c r="I297" s="36">
        <v>422000</v>
      </c>
    </row>
    <row r="298" spans="1:9" ht="23.25" customHeight="1">
      <c r="A298" s="26"/>
      <c r="B298" s="26"/>
      <c r="C298" s="43">
        <f>5599.5+4923.02+13007.36+2976.64</f>
        <v>26506.52</v>
      </c>
      <c r="D298" s="44" t="s">
        <v>232</v>
      </c>
      <c r="E298" s="45"/>
      <c r="F298" s="34"/>
      <c r="G298" s="35"/>
      <c r="H298" s="40"/>
      <c r="I298" s="46">
        <f>2476.64+500</f>
        <v>2976.64</v>
      </c>
    </row>
    <row r="299" spans="1:9" ht="23.25" customHeight="1">
      <c r="A299" s="26"/>
      <c r="B299" s="26"/>
      <c r="C299" s="43">
        <f>429650</f>
        <v>429650</v>
      </c>
      <c r="D299" s="44" t="s">
        <v>233</v>
      </c>
      <c r="E299" s="45"/>
      <c r="F299" s="34"/>
      <c r="G299" s="47"/>
      <c r="H299" s="40"/>
      <c r="I299" s="48"/>
    </row>
    <row r="300" spans="1:9" ht="23.25" customHeight="1">
      <c r="A300" s="26"/>
      <c r="B300" s="26"/>
      <c r="C300" s="43">
        <f>7213+6713+7283+7283</f>
        <v>28492</v>
      </c>
      <c r="D300" s="44" t="s">
        <v>234</v>
      </c>
      <c r="E300" s="45"/>
      <c r="F300" s="34"/>
      <c r="G300" s="35"/>
      <c r="H300" s="49"/>
      <c r="I300" s="48">
        <v>7283</v>
      </c>
    </row>
    <row r="301" spans="1:9" ht="23.25" customHeight="1">
      <c r="A301" s="26"/>
      <c r="B301" s="26"/>
      <c r="C301" s="43">
        <v>639.93</v>
      </c>
      <c r="D301" s="82" t="s">
        <v>407</v>
      </c>
      <c r="E301" s="45"/>
      <c r="F301" s="34"/>
      <c r="G301" s="35"/>
      <c r="H301" s="49"/>
      <c r="I301" s="48">
        <v>639.93</v>
      </c>
    </row>
    <row r="302" spans="1:9" ht="23.25" customHeight="1">
      <c r="A302" s="26"/>
      <c r="B302" s="26"/>
      <c r="C302" s="43">
        <v>100000</v>
      </c>
      <c r="D302" s="44" t="s">
        <v>235</v>
      </c>
      <c r="E302" s="45"/>
      <c r="F302" s="34"/>
      <c r="G302" s="35"/>
      <c r="H302" s="40"/>
      <c r="I302" s="48"/>
    </row>
    <row r="303" spans="1:9" ht="23.25" customHeight="1">
      <c r="A303" s="26"/>
      <c r="B303" s="26"/>
      <c r="C303" s="43">
        <f>24450+13875</f>
        <v>38325</v>
      </c>
      <c r="D303" s="44" t="s">
        <v>236</v>
      </c>
      <c r="E303" s="45"/>
      <c r="F303" s="34"/>
      <c r="G303" s="35"/>
      <c r="H303" s="40"/>
      <c r="I303" s="48">
        <v>13875</v>
      </c>
    </row>
    <row r="304" spans="1:9" ht="23.25" customHeight="1">
      <c r="A304" s="26"/>
      <c r="B304" s="26"/>
      <c r="C304" s="43">
        <f>29388+51250+29187+29374</f>
        <v>139199</v>
      </c>
      <c r="D304" s="44" t="s">
        <v>239</v>
      </c>
      <c r="E304" s="45"/>
      <c r="F304" s="34"/>
      <c r="G304" s="35"/>
      <c r="H304" s="40"/>
      <c r="I304" s="48">
        <v>29374</v>
      </c>
    </row>
    <row r="305" spans="1:9" ht="23.25" customHeight="1">
      <c r="A305" s="26"/>
      <c r="B305" s="26"/>
      <c r="C305" s="43">
        <f>63100+63100+63100+57400</f>
        <v>246700</v>
      </c>
      <c r="D305" s="44" t="s">
        <v>240</v>
      </c>
      <c r="E305" s="45"/>
      <c r="F305" s="34"/>
      <c r="G305" s="34"/>
      <c r="H305" s="40"/>
      <c r="I305" s="47">
        <v>57400</v>
      </c>
    </row>
    <row r="306" spans="1:9" ht="23.25" customHeight="1">
      <c r="A306" s="26"/>
      <c r="B306" s="26"/>
      <c r="C306" s="43">
        <f>81086+54466+78186+74435</f>
        <v>288173</v>
      </c>
      <c r="D306" s="44" t="s">
        <v>241</v>
      </c>
      <c r="E306" s="45"/>
      <c r="F306" s="34"/>
      <c r="G306" s="34"/>
      <c r="H306" s="40"/>
      <c r="I306" s="47">
        <v>74435</v>
      </c>
    </row>
    <row r="307" spans="1:9" ht="23.25" customHeight="1">
      <c r="A307" s="26"/>
      <c r="B307" s="26"/>
      <c r="C307" s="43">
        <f>22027+22027+27315+27212</f>
        <v>98581</v>
      </c>
      <c r="D307" s="44" t="s">
        <v>242</v>
      </c>
      <c r="E307" s="45"/>
      <c r="F307" s="34"/>
      <c r="G307" s="34"/>
      <c r="H307" s="40"/>
      <c r="I307" s="47">
        <v>27212</v>
      </c>
    </row>
    <row r="308" spans="1:9" ht="23.25" customHeight="1">
      <c r="A308" s="26"/>
      <c r="B308" s="26"/>
      <c r="C308" s="43">
        <v>7.1</v>
      </c>
      <c r="D308" s="44" t="s">
        <v>38</v>
      </c>
      <c r="E308" s="45"/>
      <c r="F308" s="34"/>
      <c r="G308" s="34"/>
      <c r="H308" s="40"/>
      <c r="I308" s="47"/>
    </row>
    <row r="309" spans="1:9" ht="23.25" customHeight="1">
      <c r="A309" s="26"/>
      <c r="B309" s="26"/>
      <c r="C309" s="43"/>
      <c r="D309" s="44"/>
      <c r="E309" s="45"/>
      <c r="F309" s="34"/>
      <c r="G309" s="34"/>
      <c r="H309" s="40"/>
      <c r="I309" s="47"/>
    </row>
    <row r="310" spans="1:9" ht="23.25" customHeight="1" thickBot="1">
      <c r="A310" s="26"/>
      <c r="B310" s="26"/>
      <c r="C310" s="52">
        <f>SUM(C296:C309)</f>
        <v>2825839.5500000003</v>
      </c>
      <c r="D310" s="37"/>
      <c r="E310" s="34"/>
      <c r="F310" s="34"/>
      <c r="G310" s="34"/>
      <c r="H310" s="35"/>
      <c r="I310" s="54">
        <f>SUM(I296:I308)</f>
        <v>635195.5700000001</v>
      </c>
    </row>
    <row r="311" spans="1:9" ht="23.25" customHeight="1" thickBot="1">
      <c r="A311" s="55">
        <f>SUM(A295)</f>
        <v>27650000</v>
      </c>
      <c r="B311" s="211"/>
      <c r="C311" s="41">
        <f>SUM(C295+C310)</f>
        <v>12916052.16</v>
      </c>
      <c r="D311" s="37"/>
      <c r="E311" s="34"/>
      <c r="F311" s="56" t="s">
        <v>106</v>
      </c>
      <c r="G311" s="34"/>
      <c r="H311" s="35"/>
      <c r="I311" s="41">
        <f>SUM(I295+I310)</f>
        <v>4255595.13</v>
      </c>
    </row>
    <row r="312" spans="1:9" ht="23.25" customHeight="1">
      <c r="A312" s="57"/>
      <c r="B312" s="57"/>
      <c r="C312" s="57"/>
      <c r="D312" s="34"/>
      <c r="E312" s="34"/>
      <c r="F312" s="56"/>
      <c r="G312" s="34"/>
      <c r="H312" s="34"/>
      <c r="I312" s="57"/>
    </row>
    <row r="313" spans="1:9" ht="23.25" customHeight="1">
      <c r="A313" s="57"/>
      <c r="B313" s="57"/>
      <c r="C313" s="57"/>
      <c r="D313" s="34"/>
      <c r="E313" s="34"/>
      <c r="F313" s="56"/>
      <c r="G313" s="34"/>
      <c r="H313" s="34"/>
      <c r="I313" s="57"/>
    </row>
    <row r="314" spans="1:9" ht="23.25" customHeight="1">
      <c r="A314" s="57"/>
      <c r="B314" s="57"/>
      <c r="C314" s="57"/>
      <c r="D314" s="34"/>
      <c r="E314" s="34"/>
      <c r="F314" s="56"/>
      <c r="G314" s="34"/>
      <c r="H314" s="34"/>
      <c r="I314" s="57"/>
    </row>
    <row r="315" spans="1:9" ht="23.25" customHeight="1">
      <c r="A315" s="57"/>
      <c r="B315" s="57"/>
      <c r="C315" s="57"/>
      <c r="D315" s="34"/>
      <c r="E315" s="34"/>
      <c r="F315" s="56"/>
      <c r="G315" s="34"/>
      <c r="H315" s="34"/>
      <c r="I315" s="57"/>
    </row>
    <row r="316" spans="1:9" ht="23.25" customHeight="1">
      <c r="A316" s="57"/>
      <c r="B316" s="57"/>
      <c r="C316" s="57"/>
      <c r="D316" s="34"/>
      <c r="E316" s="34"/>
      <c r="F316" s="56"/>
      <c r="G316" s="34"/>
      <c r="H316" s="34"/>
      <c r="I316" s="57"/>
    </row>
    <row r="317" spans="1:9" ht="23.25" customHeight="1">
      <c r="A317" s="57"/>
      <c r="B317" s="57"/>
      <c r="C317" s="57"/>
      <c r="D317" s="34"/>
      <c r="E317" s="34"/>
      <c r="F317" s="56"/>
      <c r="G317" s="34"/>
      <c r="H317" s="34"/>
      <c r="I317" s="57"/>
    </row>
    <row r="318" spans="1:9" ht="23.25" customHeight="1">
      <c r="A318" s="57"/>
      <c r="B318" s="57"/>
      <c r="C318" s="57"/>
      <c r="D318" s="34"/>
      <c r="E318" s="34"/>
      <c r="F318" s="56"/>
      <c r="G318" s="34"/>
      <c r="H318" s="34"/>
      <c r="I318" s="57"/>
    </row>
    <row r="319" spans="1:9" ht="23.25" customHeight="1">
      <c r="A319" s="57"/>
      <c r="B319" s="57"/>
      <c r="C319" s="57"/>
      <c r="D319" s="34"/>
      <c r="E319" s="34"/>
      <c r="F319" s="56"/>
      <c r="G319" s="34"/>
      <c r="H319" s="34"/>
      <c r="I319" s="57"/>
    </row>
    <row r="320" spans="1:9" ht="23.25" customHeight="1">
      <c r="A320" s="57"/>
      <c r="B320" s="57"/>
      <c r="C320" s="57"/>
      <c r="D320" s="34"/>
      <c r="E320" s="34"/>
      <c r="F320" s="56"/>
      <c r="G320" s="34"/>
      <c r="H320" s="34"/>
      <c r="I320" s="57"/>
    </row>
    <row r="321" spans="1:9" ht="23.25" customHeight="1">
      <c r="A321" s="57"/>
      <c r="B321" s="57"/>
      <c r="C321" s="57"/>
      <c r="D321" s="34"/>
      <c r="E321" s="34"/>
      <c r="F321" s="56"/>
      <c r="G321" s="34"/>
      <c r="H321" s="34"/>
      <c r="I321" s="57"/>
    </row>
    <row r="322" spans="1:9" ht="23.25" customHeight="1">
      <c r="A322" s="57"/>
      <c r="B322" s="57"/>
      <c r="C322" s="57"/>
      <c r="D322" s="34"/>
      <c r="E322" s="34"/>
      <c r="F322" s="56"/>
      <c r="G322" s="34"/>
      <c r="H322" s="34"/>
      <c r="I322" s="57"/>
    </row>
    <row r="323" spans="1:9" ht="23.25" customHeight="1">
      <c r="A323" s="57"/>
      <c r="B323" s="57"/>
      <c r="C323" s="57"/>
      <c r="D323" s="34"/>
      <c r="E323" s="34"/>
      <c r="F323" s="56"/>
      <c r="G323" s="34"/>
      <c r="H323" s="34"/>
      <c r="I323" s="57"/>
    </row>
    <row r="324" spans="1:9" ht="23.25" customHeight="1">
      <c r="A324" s="57"/>
      <c r="B324" s="57"/>
      <c r="C324" s="57"/>
      <c r="D324" s="34"/>
      <c r="E324" s="34"/>
      <c r="F324" s="56"/>
      <c r="G324" s="34"/>
      <c r="H324" s="34"/>
      <c r="I324" s="57"/>
    </row>
    <row r="325" spans="1:9" ht="23.25" customHeight="1">
      <c r="A325" s="57"/>
      <c r="B325" s="57"/>
      <c r="C325" s="57"/>
      <c r="D325" s="34"/>
      <c r="E325" s="34"/>
      <c r="F325" s="56"/>
      <c r="G325" s="34"/>
      <c r="H325" s="34"/>
      <c r="I325" s="57"/>
    </row>
    <row r="326" spans="1:9" ht="23.25" customHeight="1">
      <c r="A326" s="57"/>
      <c r="B326" s="57"/>
      <c r="C326" s="57"/>
      <c r="D326" s="34"/>
      <c r="E326" s="34"/>
      <c r="F326" s="56"/>
      <c r="G326" s="34"/>
      <c r="H326" s="34"/>
      <c r="I326" s="57"/>
    </row>
    <row r="327" spans="1:9" ht="23.25" customHeight="1">
      <c r="A327" s="57"/>
      <c r="B327" s="57"/>
      <c r="C327" s="57"/>
      <c r="D327" s="34"/>
      <c r="E327" s="34"/>
      <c r="F327" s="56"/>
      <c r="G327" s="34"/>
      <c r="H327" s="34"/>
      <c r="I327" s="57"/>
    </row>
    <row r="328" spans="1:9" ht="23.25" customHeight="1">
      <c r="A328" s="333">
        <v>2</v>
      </c>
      <c r="B328" s="333"/>
      <c r="C328" s="333"/>
      <c r="D328" s="333"/>
      <c r="E328" s="333"/>
      <c r="F328" s="333"/>
      <c r="G328" s="333"/>
      <c r="H328" s="333"/>
      <c r="I328" s="333"/>
    </row>
    <row r="329" spans="1:9" ht="23.25" customHeight="1">
      <c r="A329" s="350" t="s">
        <v>91</v>
      </c>
      <c r="B329" s="351"/>
      <c r="C329" s="352"/>
      <c r="D329" s="58"/>
      <c r="E329" s="58"/>
      <c r="F329" s="58"/>
      <c r="G329" s="58"/>
      <c r="H329" s="59" t="s">
        <v>86</v>
      </c>
      <c r="I329" s="60" t="s">
        <v>88</v>
      </c>
    </row>
    <row r="330" spans="1:9" ht="23.25" customHeight="1">
      <c r="A330" s="59" t="s">
        <v>39</v>
      </c>
      <c r="B330" s="59" t="s">
        <v>228</v>
      </c>
      <c r="C330" s="59" t="s">
        <v>85</v>
      </c>
      <c r="D330" s="353" t="s">
        <v>78</v>
      </c>
      <c r="E330" s="353"/>
      <c r="F330" s="353"/>
      <c r="G330" s="353"/>
      <c r="H330" s="62" t="s">
        <v>87</v>
      </c>
      <c r="I330" s="59" t="s">
        <v>85</v>
      </c>
    </row>
    <row r="331" spans="1:9" ht="23.25" customHeight="1">
      <c r="A331" s="64" t="s">
        <v>40</v>
      </c>
      <c r="B331" s="216" t="s">
        <v>229</v>
      </c>
      <c r="C331" s="64" t="s">
        <v>40</v>
      </c>
      <c r="D331" s="65"/>
      <c r="E331" s="65"/>
      <c r="F331" s="65"/>
      <c r="G331" s="65"/>
      <c r="H331" s="66"/>
      <c r="I331" s="64" t="s">
        <v>40</v>
      </c>
    </row>
    <row r="332" spans="1:9" ht="23.25" customHeight="1">
      <c r="A332" s="68"/>
      <c r="B332" s="68"/>
      <c r="C332" s="68"/>
      <c r="D332" s="69" t="s">
        <v>92</v>
      </c>
      <c r="E332" s="70"/>
      <c r="F332" s="70"/>
      <c r="G332" s="70"/>
      <c r="H332" s="71"/>
      <c r="I332" s="72"/>
    </row>
    <row r="333" spans="1:9" ht="23.25" customHeight="1">
      <c r="A333" s="73">
        <v>6761806</v>
      </c>
      <c r="B333" s="73"/>
      <c r="C333" s="73">
        <f>572455+479826+930683+589283</f>
        <v>2572247</v>
      </c>
      <c r="D333" s="70" t="s">
        <v>45</v>
      </c>
      <c r="F333" s="70"/>
      <c r="G333" s="70"/>
      <c r="H333" s="74">
        <v>510000</v>
      </c>
      <c r="I333" s="73">
        <f>167283+422000</f>
        <v>589283</v>
      </c>
    </row>
    <row r="334" spans="1:9" ht="23.25" customHeight="1">
      <c r="A334" s="73">
        <v>2484720</v>
      </c>
      <c r="B334" s="73"/>
      <c r="C334" s="73">
        <f>I334+207060+207060+207060</f>
        <v>828240</v>
      </c>
      <c r="D334" s="70" t="s">
        <v>135</v>
      </c>
      <c r="F334" s="70"/>
      <c r="G334" s="70"/>
      <c r="H334" s="74">
        <v>521000</v>
      </c>
      <c r="I334" s="75">
        <v>207060</v>
      </c>
    </row>
    <row r="335" spans="1:9" ht="23.25" customHeight="1">
      <c r="A335" s="73">
        <f>5864260-162420</f>
        <v>5701840</v>
      </c>
      <c r="B335" s="73"/>
      <c r="C335" s="73">
        <f>340780+340780+340780+341490</f>
        <v>1363830</v>
      </c>
      <c r="D335" s="70" t="s">
        <v>107</v>
      </c>
      <c r="F335" s="70"/>
      <c r="G335" s="70"/>
      <c r="H335" s="74">
        <v>522000</v>
      </c>
      <c r="I335" s="75">
        <v>341490</v>
      </c>
    </row>
    <row r="336" spans="1:9" ht="23.25" customHeight="1">
      <c r="A336" s="73">
        <v>162420</v>
      </c>
      <c r="B336" s="73"/>
      <c r="C336" s="73">
        <f>13310+13310+13310+13310</f>
        <v>53240</v>
      </c>
      <c r="D336" s="70" t="s">
        <v>93</v>
      </c>
      <c r="F336" s="70"/>
      <c r="G336" s="70"/>
      <c r="H336" s="74">
        <v>522000</v>
      </c>
      <c r="I336" s="75">
        <v>13310</v>
      </c>
    </row>
    <row r="337" spans="1:9" ht="23.25" customHeight="1">
      <c r="A337" s="73">
        <v>1938624</v>
      </c>
      <c r="B337" s="73"/>
      <c r="C337" s="73">
        <f>147075+137075+148475+148475</f>
        <v>581100</v>
      </c>
      <c r="D337" s="70" t="s">
        <v>33</v>
      </c>
      <c r="F337" s="70"/>
      <c r="G337" s="70"/>
      <c r="H337" s="74">
        <v>522000</v>
      </c>
      <c r="I337" s="75">
        <v>148475</v>
      </c>
    </row>
    <row r="338" spans="1:9" ht="23.25" customHeight="1">
      <c r="A338" s="73">
        <v>895670</v>
      </c>
      <c r="B338" s="73"/>
      <c r="C338" s="73">
        <f>7400+15115+20000+9930</f>
        <v>52445</v>
      </c>
      <c r="D338" s="70" t="s">
        <v>80</v>
      </c>
      <c r="F338" s="70"/>
      <c r="G338" s="70"/>
      <c r="H338" s="74">
        <v>531000</v>
      </c>
      <c r="I338" s="75">
        <v>9930</v>
      </c>
    </row>
    <row r="339" spans="1:9" ht="23.25" customHeight="1">
      <c r="A339" s="73">
        <v>4175470</v>
      </c>
      <c r="B339" s="73"/>
      <c r="C339" s="73">
        <f>112050+193659.29-0.9+428958.85+220010</f>
        <v>954677.24</v>
      </c>
      <c r="D339" s="70" t="s">
        <v>81</v>
      </c>
      <c r="F339" s="70"/>
      <c r="G339" s="70"/>
      <c r="H339" s="76">
        <v>532000</v>
      </c>
      <c r="I339" s="75">
        <v>220010</v>
      </c>
    </row>
    <row r="340" spans="1:9" ht="23.25" customHeight="1">
      <c r="A340" s="77">
        <v>1880550</v>
      </c>
      <c r="B340" s="77"/>
      <c r="C340" s="73">
        <f>90550+156574+221628.39</f>
        <v>468752.39</v>
      </c>
      <c r="D340" s="70" t="s">
        <v>83</v>
      </c>
      <c r="F340" s="70"/>
      <c r="G340" s="70"/>
      <c r="H340" s="76">
        <v>533000</v>
      </c>
      <c r="I340" s="75">
        <v>221628.39</v>
      </c>
    </row>
    <row r="341" spans="1:9" ht="23.25" customHeight="1">
      <c r="A341" s="77">
        <v>216000</v>
      </c>
      <c r="B341" s="77"/>
      <c r="C341" s="73">
        <f>3992.17+10529.38+15448.29+22732.73</f>
        <v>52702.57</v>
      </c>
      <c r="D341" s="70" t="s">
        <v>34</v>
      </c>
      <c r="F341" s="70"/>
      <c r="G341" s="70"/>
      <c r="H341" s="76">
        <v>534000</v>
      </c>
      <c r="I341" s="75">
        <v>22732.73</v>
      </c>
    </row>
    <row r="342" spans="1:9" ht="23.25" customHeight="1">
      <c r="A342" s="77">
        <v>301900</v>
      </c>
      <c r="B342" s="77"/>
      <c r="C342" s="73">
        <f>I342</f>
        <v>7100</v>
      </c>
      <c r="D342" s="70" t="s">
        <v>36</v>
      </c>
      <c r="F342" s="70"/>
      <c r="G342" s="70"/>
      <c r="H342" s="76">
        <v>541000</v>
      </c>
      <c r="I342" s="75">
        <v>7100</v>
      </c>
    </row>
    <row r="343" spans="1:9" ht="23.25" customHeight="1">
      <c r="A343" s="77">
        <v>2041000</v>
      </c>
      <c r="B343" s="77"/>
      <c r="C343" s="73">
        <f>I343</f>
        <v>0</v>
      </c>
      <c r="D343" s="70" t="s">
        <v>37</v>
      </c>
      <c r="F343" s="70"/>
      <c r="G343" s="70"/>
      <c r="H343" s="76">
        <v>542000</v>
      </c>
      <c r="I343" s="75">
        <v>0</v>
      </c>
    </row>
    <row r="344" spans="1:9" ht="23.25" customHeight="1">
      <c r="A344" s="77">
        <v>1090000</v>
      </c>
      <c r="B344" s="77"/>
      <c r="C344" s="73">
        <f>253000+20000+330522.47</f>
        <v>603522.47</v>
      </c>
      <c r="D344" s="70" t="s">
        <v>35</v>
      </c>
      <c r="F344" s="70"/>
      <c r="G344" s="70"/>
      <c r="H344" s="76">
        <v>560000</v>
      </c>
      <c r="I344" s="73">
        <v>330522.47</v>
      </c>
    </row>
    <row r="345" spans="1:9" ht="23.25" customHeight="1">
      <c r="A345" s="77"/>
      <c r="B345" s="77"/>
      <c r="C345" s="73">
        <f>I345</f>
        <v>0</v>
      </c>
      <c r="D345" s="70" t="s">
        <v>122</v>
      </c>
      <c r="F345" s="70"/>
      <c r="G345" s="70"/>
      <c r="H345" s="76">
        <v>550000</v>
      </c>
      <c r="I345" s="73"/>
    </row>
    <row r="346" spans="1:9" ht="23.25" customHeight="1" thickBot="1">
      <c r="A346" s="78">
        <f>SUM(A332:A345)</f>
        <v>27650000</v>
      </c>
      <c r="B346" s="78"/>
      <c r="C346" s="90">
        <f>SUM(C333:C345)</f>
        <v>7537856.67</v>
      </c>
      <c r="D346" s="70"/>
      <c r="E346" s="70"/>
      <c r="F346" s="70"/>
      <c r="G346" s="70"/>
      <c r="H346" s="76"/>
      <c r="I346" s="90">
        <f>SUM(I332:I345)</f>
        <v>2111541.59</v>
      </c>
    </row>
    <row r="347" spans="1:9" ht="23.25" customHeight="1" thickTop="1">
      <c r="A347" s="80"/>
      <c r="B347" s="80"/>
      <c r="C347" s="73">
        <v>2566</v>
      </c>
      <c r="D347" s="70" t="s">
        <v>201</v>
      </c>
      <c r="E347" s="70"/>
      <c r="F347" s="70"/>
      <c r="G347" s="70"/>
      <c r="H347" s="76"/>
      <c r="I347" s="73"/>
    </row>
    <row r="348" spans="1:9" ht="23.25" customHeight="1">
      <c r="A348" s="80"/>
      <c r="B348" s="80"/>
      <c r="C348" s="73">
        <f>440600+564400+422000</f>
        <v>1427000</v>
      </c>
      <c r="D348" s="70" t="s">
        <v>103</v>
      </c>
      <c r="E348" s="70"/>
      <c r="F348" s="70"/>
      <c r="G348" s="70"/>
      <c r="H348" s="76"/>
      <c r="I348" s="73">
        <f>426000-2400-1600</f>
        <v>422000</v>
      </c>
    </row>
    <row r="349" spans="1:9" ht="23.25" customHeight="1">
      <c r="A349" s="83"/>
      <c r="B349" s="83"/>
      <c r="C349" s="73">
        <f>475000+253800+392500+17238.5</f>
        <v>1138538.5</v>
      </c>
      <c r="D349" s="82" t="s">
        <v>18</v>
      </c>
      <c r="E349" s="34"/>
      <c r="F349" s="70"/>
      <c r="G349" s="70"/>
      <c r="H349" s="74"/>
      <c r="I349" s="73">
        <v>17238.5</v>
      </c>
    </row>
    <row r="350" spans="1:9" ht="23.25" customHeight="1">
      <c r="A350" s="83"/>
      <c r="B350" s="83"/>
      <c r="C350" s="73">
        <f>166200+263450</f>
        <v>429650</v>
      </c>
      <c r="D350" s="82" t="s">
        <v>389</v>
      </c>
      <c r="E350" s="34"/>
      <c r="F350" s="70"/>
      <c r="G350" s="70"/>
      <c r="H350" s="74"/>
      <c r="I350" s="73">
        <v>263450</v>
      </c>
    </row>
    <row r="351" spans="1:9" ht="23.25" customHeight="1">
      <c r="A351" s="81"/>
      <c r="B351" s="81"/>
      <c r="C351" s="73">
        <f>6988.19+5599.5+4923.02+13007.36</f>
        <v>30518.07</v>
      </c>
      <c r="D351" s="82" t="s">
        <v>232</v>
      </c>
      <c r="E351" s="34"/>
      <c r="F351" s="70"/>
      <c r="G351" s="70"/>
      <c r="H351" s="74"/>
      <c r="I351" s="73">
        <v>13007.36</v>
      </c>
    </row>
    <row r="352" spans="1:9" ht="23.25" customHeight="1">
      <c r="A352" s="81"/>
      <c r="B352" s="81"/>
      <c r="C352" s="73">
        <v>2842.38</v>
      </c>
      <c r="D352" s="82" t="s">
        <v>407</v>
      </c>
      <c r="E352" s="34"/>
      <c r="F352" s="70"/>
      <c r="G352" s="70"/>
      <c r="H352" s="74"/>
      <c r="I352" s="73">
        <v>2842.38</v>
      </c>
    </row>
    <row r="353" spans="1:9" ht="23.25" customHeight="1">
      <c r="A353" s="81"/>
      <c r="B353" s="81"/>
      <c r="C353" s="73">
        <v>16050</v>
      </c>
      <c r="D353" s="34" t="s">
        <v>237</v>
      </c>
      <c r="F353" s="70"/>
      <c r="G353" s="70"/>
      <c r="H353" s="76">
        <v>300000</v>
      </c>
      <c r="I353" s="73"/>
    </row>
    <row r="354" spans="1:9" ht="23.25" customHeight="1">
      <c r="A354" s="81"/>
      <c r="B354" s="81"/>
      <c r="C354" s="73">
        <f>13926+7283+7283</f>
        <v>28492</v>
      </c>
      <c r="D354" s="82" t="s">
        <v>238</v>
      </c>
      <c r="E354" s="45"/>
      <c r="F354" s="70"/>
      <c r="G354" s="70"/>
      <c r="H354" s="74">
        <v>230000</v>
      </c>
      <c r="I354" s="73">
        <v>7283</v>
      </c>
    </row>
    <row r="355" spans="1:9" ht="23.25" customHeight="1">
      <c r="A355" s="81"/>
      <c r="B355" s="81"/>
      <c r="C355" s="73">
        <v>100000</v>
      </c>
      <c r="D355" s="82" t="s">
        <v>77</v>
      </c>
      <c r="E355" s="45"/>
      <c r="F355" s="70"/>
      <c r="G355" s="70"/>
      <c r="H355" s="74">
        <v>110605</v>
      </c>
      <c r="I355" s="73"/>
    </row>
    <row r="356" spans="1:9" ht="23.25" customHeight="1">
      <c r="A356" s="81"/>
      <c r="B356" s="81"/>
      <c r="C356" s="77">
        <f>29388+51250+29187+29374</f>
        <v>139199</v>
      </c>
      <c r="D356" s="213" t="s">
        <v>239</v>
      </c>
      <c r="E356" s="45"/>
      <c r="F356" s="34"/>
      <c r="G356" s="34"/>
      <c r="H356" s="214"/>
      <c r="I356" s="47">
        <v>29374</v>
      </c>
    </row>
    <row r="357" spans="1:9" ht="23.25" customHeight="1">
      <c r="A357" s="81"/>
      <c r="B357" s="81"/>
      <c r="C357" s="77">
        <f>63100+63100+63100+57400</f>
        <v>246700</v>
      </c>
      <c r="D357" s="213" t="s">
        <v>240</v>
      </c>
      <c r="E357" s="45"/>
      <c r="F357" s="34"/>
      <c r="G357" s="34"/>
      <c r="H357" s="214"/>
      <c r="I357" s="47">
        <v>57400</v>
      </c>
    </row>
    <row r="358" spans="1:9" ht="23.25" customHeight="1">
      <c r="A358" s="81"/>
      <c r="B358" s="81"/>
      <c r="C358" s="77">
        <f>81086+54466+78186+74435</f>
        <v>288173</v>
      </c>
      <c r="D358" s="213" t="s">
        <v>241</v>
      </c>
      <c r="E358" s="45"/>
      <c r="F358" s="34"/>
      <c r="G358" s="34"/>
      <c r="H358" s="214"/>
      <c r="I358" s="47">
        <v>74435</v>
      </c>
    </row>
    <row r="359" spans="1:9" ht="23.25" customHeight="1">
      <c r="A359" s="81"/>
      <c r="B359" s="81"/>
      <c r="C359" s="77">
        <f>22027+22027+27315+27212</f>
        <v>98581</v>
      </c>
      <c r="D359" s="213" t="s">
        <v>242</v>
      </c>
      <c r="E359" s="45"/>
      <c r="F359" s="34"/>
      <c r="G359" s="34"/>
      <c r="H359" s="214"/>
      <c r="I359" s="47">
        <v>27212</v>
      </c>
    </row>
    <row r="360" spans="1:9" ht="23.25" customHeight="1">
      <c r="A360" s="81"/>
      <c r="B360" s="81"/>
      <c r="C360" s="73"/>
      <c r="D360" s="82"/>
      <c r="E360" s="45"/>
      <c r="F360" s="70"/>
      <c r="G360" s="70"/>
      <c r="H360" s="74"/>
      <c r="I360" s="73"/>
    </row>
    <row r="361" spans="1:9" ht="23.25" customHeight="1">
      <c r="A361" s="85"/>
      <c r="B361" s="85"/>
      <c r="C361" s="86">
        <f>SUM(C347:C360)</f>
        <v>3948309.9499999997</v>
      </c>
      <c r="D361" s="82"/>
      <c r="E361" s="45"/>
      <c r="F361" s="70"/>
      <c r="G361" s="70"/>
      <c r="H361" s="87"/>
      <c r="I361" s="88">
        <f>SUM(I347:I360)</f>
        <v>914242.24</v>
      </c>
    </row>
    <row r="362" spans="1:9" ht="23.25" customHeight="1" thickBot="1">
      <c r="A362" s="89">
        <f>SUM(A346)</f>
        <v>27650000</v>
      </c>
      <c r="B362" s="89"/>
      <c r="C362" s="90">
        <f>SUM(C346+C361)</f>
        <v>11486166.62</v>
      </c>
      <c r="D362" s="333" t="s">
        <v>94</v>
      </c>
      <c r="E362" s="333"/>
      <c r="F362" s="333"/>
      <c r="G362" s="333"/>
      <c r="H362" s="34"/>
      <c r="I362" s="90">
        <f>SUM(I346+I361)</f>
        <v>3025783.83</v>
      </c>
    </row>
    <row r="363" spans="1:9" ht="23.25" customHeight="1" thickTop="1">
      <c r="A363" s="70"/>
      <c r="B363" s="70"/>
      <c r="C363" s="68"/>
      <c r="D363" s="333" t="s">
        <v>95</v>
      </c>
      <c r="E363" s="333"/>
      <c r="F363" s="333"/>
      <c r="G363" s="333"/>
      <c r="H363" s="70"/>
      <c r="I363" s="91"/>
    </row>
    <row r="364" spans="1:9" ht="23.25" customHeight="1">
      <c r="A364" s="70"/>
      <c r="B364" s="70"/>
      <c r="C364" s="68"/>
      <c r="D364" s="333" t="s">
        <v>96</v>
      </c>
      <c r="E364" s="333"/>
      <c r="F364" s="333"/>
      <c r="G364" s="333"/>
      <c r="H364" s="70"/>
      <c r="I364" s="91"/>
    </row>
    <row r="365" spans="1:9" ht="23.25" customHeight="1">
      <c r="A365" s="69"/>
      <c r="B365" s="69"/>
      <c r="C365" s="92">
        <f>C311-C362</f>
        <v>1429885.540000001</v>
      </c>
      <c r="D365" s="348" t="s">
        <v>98</v>
      </c>
      <c r="E365" s="348"/>
      <c r="F365" s="348"/>
      <c r="G365" s="348"/>
      <c r="H365" s="69"/>
      <c r="I365" s="92">
        <f>I311-I362</f>
        <v>1229811.2999999998</v>
      </c>
    </row>
    <row r="366" spans="1:9" ht="23.25" customHeight="1">
      <c r="A366" s="69"/>
      <c r="B366" s="69"/>
      <c r="C366" s="95">
        <f>SUM(C287+C311-C362)</f>
        <v>12721812.03</v>
      </c>
      <c r="D366" s="348" t="s">
        <v>97</v>
      </c>
      <c r="E366" s="348"/>
      <c r="F366" s="348"/>
      <c r="G366" s="348"/>
      <c r="H366" s="69"/>
      <c r="I366" s="95">
        <f>SUM(I287+I311-I362)</f>
        <v>12721812.03</v>
      </c>
    </row>
    <row r="367" spans="1:9" ht="23.25" customHeight="1">
      <c r="A367" s="69"/>
      <c r="B367" s="69"/>
      <c r="C367" s="217"/>
      <c r="D367" s="206"/>
      <c r="E367" s="206"/>
      <c r="F367" s="206"/>
      <c r="G367" s="206"/>
      <c r="H367" s="69"/>
      <c r="I367" s="217"/>
    </row>
    <row r="368" spans="1:9" ht="23.25" customHeight="1">
      <c r="A368" s="70"/>
      <c r="B368" s="70"/>
      <c r="C368" s="70"/>
      <c r="D368" s="70"/>
      <c r="E368" s="70"/>
      <c r="F368" s="70"/>
      <c r="G368" s="70"/>
      <c r="H368" s="70"/>
      <c r="I368" s="70"/>
    </row>
    <row r="369" spans="1:9" ht="23.25" customHeight="1">
      <c r="A369" s="349" t="s">
        <v>262</v>
      </c>
      <c r="B369" s="349"/>
      <c r="C369" s="349"/>
      <c r="D369" s="349" t="s">
        <v>263</v>
      </c>
      <c r="E369" s="349"/>
      <c r="F369" s="349"/>
      <c r="G369" s="349" t="s">
        <v>5</v>
      </c>
      <c r="H369" s="349"/>
      <c r="I369" s="349"/>
    </row>
    <row r="370" spans="1:9" ht="23.25" customHeight="1">
      <c r="A370" s="349" t="s">
        <v>259</v>
      </c>
      <c r="B370" s="349"/>
      <c r="C370" s="349"/>
      <c r="D370" s="333" t="s">
        <v>126</v>
      </c>
      <c r="E370" s="333"/>
      <c r="F370" s="333"/>
      <c r="G370" s="333" t="s">
        <v>264</v>
      </c>
      <c r="H370" s="333"/>
      <c r="I370" s="333"/>
    </row>
    <row r="371" spans="1:9" ht="23.25" customHeight="1">
      <c r="A371" s="346" t="s">
        <v>260</v>
      </c>
      <c r="B371" s="346"/>
      <c r="C371" s="346"/>
      <c r="D371" s="347" t="s">
        <v>127</v>
      </c>
      <c r="E371" s="347"/>
      <c r="F371" s="347"/>
      <c r="G371" s="347" t="s">
        <v>265</v>
      </c>
      <c r="H371" s="347"/>
      <c r="I371" s="347"/>
    </row>
    <row r="372" spans="1:6" ht="23.25" customHeight="1">
      <c r="A372" s="346" t="s">
        <v>261</v>
      </c>
      <c r="B372" s="346"/>
      <c r="C372" s="346"/>
      <c r="D372" s="97"/>
      <c r="E372" s="97"/>
      <c r="F372" s="97"/>
    </row>
    <row r="373" spans="1:12" ht="23.25" customHeight="1">
      <c r="A373" s="97"/>
      <c r="B373" s="97"/>
      <c r="C373" s="97"/>
      <c r="D373" s="97"/>
      <c r="E373" s="97"/>
      <c r="F373" s="97"/>
      <c r="G373" s="97"/>
      <c r="H373" s="97"/>
      <c r="I373" s="97"/>
      <c r="L373" s="51"/>
    </row>
    <row r="374" spans="1:9" ht="23.25" customHeight="1">
      <c r="A374" s="97"/>
      <c r="B374" s="97"/>
      <c r="C374" s="97"/>
      <c r="D374" s="97"/>
      <c r="E374" s="97"/>
      <c r="F374" s="97"/>
      <c r="G374" s="97"/>
      <c r="H374" s="97"/>
      <c r="I374" s="97"/>
    </row>
    <row r="375" spans="1:9" ht="23.25" customHeight="1">
      <c r="A375" s="335" t="s">
        <v>132</v>
      </c>
      <c r="B375" s="335"/>
      <c r="C375" s="335"/>
      <c r="D375" s="335"/>
      <c r="E375" s="335"/>
      <c r="F375" s="335"/>
      <c r="G375" s="335"/>
      <c r="H375" s="335"/>
      <c r="I375" s="335"/>
    </row>
    <row r="376" spans="1:12" ht="23.25" customHeight="1">
      <c r="A376" s="348" t="s">
        <v>102</v>
      </c>
      <c r="B376" s="348"/>
      <c r="C376" s="348"/>
      <c r="D376" s="348"/>
      <c r="E376" s="348"/>
      <c r="F376" s="348"/>
      <c r="G376" s="348"/>
      <c r="H376" s="348"/>
      <c r="I376" s="348"/>
      <c r="L376" s="51"/>
    </row>
    <row r="377" spans="1:9" ht="23.25" customHeight="1" thickBot="1">
      <c r="A377" s="206"/>
      <c r="B377" s="354" t="s">
        <v>411</v>
      </c>
      <c r="C377" s="354"/>
      <c r="D377" s="354"/>
      <c r="E377" s="354"/>
      <c r="F377" s="354"/>
      <c r="G377" s="354"/>
      <c r="H377" s="354"/>
      <c r="I377" s="206"/>
    </row>
    <row r="378" spans="1:9" ht="23.25" customHeight="1" thickBot="1">
      <c r="A378" s="355" t="s">
        <v>84</v>
      </c>
      <c r="B378" s="356"/>
      <c r="C378" s="357"/>
      <c r="D378" s="358" t="s">
        <v>78</v>
      </c>
      <c r="E378" s="359"/>
      <c r="F378" s="359"/>
      <c r="G378" s="360"/>
      <c r="H378" s="21" t="s">
        <v>86</v>
      </c>
      <c r="I378" s="22" t="s">
        <v>88</v>
      </c>
    </row>
    <row r="379" spans="1:9" ht="23.25" customHeight="1">
      <c r="A379" s="21" t="s">
        <v>39</v>
      </c>
      <c r="B379" s="21" t="s">
        <v>228</v>
      </c>
      <c r="C379" s="21" t="s">
        <v>85</v>
      </c>
      <c r="D379" s="361"/>
      <c r="E379" s="362"/>
      <c r="F379" s="362"/>
      <c r="G379" s="363"/>
      <c r="H379" s="23" t="s">
        <v>87</v>
      </c>
      <c r="I379" s="21" t="s">
        <v>85</v>
      </c>
    </row>
    <row r="380" spans="1:9" ht="23.25" customHeight="1" thickBot="1">
      <c r="A380" s="24" t="s">
        <v>40</v>
      </c>
      <c r="B380" s="212" t="s">
        <v>229</v>
      </c>
      <c r="C380" s="24" t="s">
        <v>40</v>
      </c>
      <c r="D380" s="364"/>
      <c r="E380" s="365"/>
      <c r="F380" s="365"/>
      <c r="G380" s="366"/>
      <c r="H380" s="25"/>
      <c r="I380" s="24" t="s">
        <v>40</v>
      </c>
    </row>
    <row r="381" spans="1:9" ht="23.25" customHeight="1">
      <c r="A381" s="26"/>
      <c r="B381" s="26"/>
      <c r="C381" s="27">
        <v>11291926.49</v>
      </c>
      <c r="D381" s="28" t="s">
        <v>99</v>
      </c>
      <c r="E381" s="29"/>
      <c r="F381" s="29"/>
      <c r="G381" s="30"/>
      <c r="H381" s="31"/>
      <c r="I381" s="205">
        <f>I366</f>
        <v>12721812.03</v>
      </c>
    </row>
    <row r="382" spans="1:9" ht="23.25" customHeight="1">
      <c r="A382" s="26"/>
      <c r="B382" s="26"/>
      <c r="C382" s="32"/>
      <c r="D382" s="33" t="s">
        <v>89</v>
      </c>
      <c r="E382" s="34"/>
      <c r="F382" s="34"/>
      <c r="G382" s="35"/>
      <c r="H382" s="37"/>
      <c r="I382" s="39"/>
    </row>
    <row r="383" spans="1:9" ht="23.25" customHeight="1">
      <c r="A383" s="36">
        <v>58000</v>
      </c>
      <c r="B383" s="36"/>
      <c r="C383" s="36">
        <f>11293.82+43012.69</f>
        <v>54306.51</v>
      </c>
      <c r="D383" s="37" t="s">
        <v>41</v>
      </c>
      <c r="E383" s="34"/>
      <c r="F383" s="34"/>
      <c r="G383" s="35"/>
      <c r="H383" s="38">
        <v>411000</v>
      </c>
      <c r="I383" s="39">
        <f>21070.25+19942.44+2000</f>
        <v>43012.69</v>
      </c>
    </row>
    <row r="384" spans="1:9" ht="23.25" customHeight="1">
      <c r="A384" s="36">
        <v>26000</v>
      </c>
      <c r="B384" s="36"/>
      <c r="C384" s="36">
        <f>1636.4+2740+6047.6+500+1326.6</f>
        <v>12250.6</v>
      </c>
      <c r="D384" s="37" t="s">
        <v>90</v>
      </c>
      <c r="E384" s="34"/>
      <c r="F384" s="34"/>
      <c r="G384" s="35"/>
      <c r="H384" s="38">
        <v>412000</v>
      </c>
      <c r="I384" s="36">
        <f>659.6+100+567</f>
        <v>1326.6</v>
      </c>
    </row>
    <row r="385" spans="1:9" ht="23.25" customHeight="1">
      <c r="A385" s="36">
        <v>70000</v>
      </c>
      <c r="B385" s="36"/>
      <c r="C385" s="36">
        <v>0</v>
      </c>
      <c r="D385" s="37" t="s">
        <v>42</v>
      </c>
      <c r="E385" s="34"/>
      <c r="F385" s="34"/>
      <c r="G385" s="35"/>
      <c r="H385" s="38">
        <v>413000</v>
      </c>
      <c r="I385" s="36"/>
    </row>
    <row r="386" spans="1:9" ht="23.25" customHeight="1">
      <c r="A386" s="36">
        <v>41000</v>
      </c>
      <c r="B386" s="36"/>
      <c r="C386" s="36">
        <f>819.4+12550</f>
        <v>13369.4</v>
      </c>
      <c r="D386" s="37" t="s">
        <v>43</v>
      </c>
      <c r="E386" s="34"/>
      <c r="F386" s="34"/>
      <c r="G386" s="35"/>
      <c r="H386" s="38">
        <v>415000</v>
      </c>
      <c r="I386" s="39"/>
    </row>
    <row r="387" spans="1:9" ht="23.25" customHeight="1">
      <c r="A387" s="36">
        <v>13150500</v>
      </c>
      <c r="B387" s="36"/>
      <c r="C387" s="36">
        <f>788344.77+1330617.03+1065104.85+446671.74+1157541.33</f>
        <v>4788279.72</v>
      </c>
      <c r="D387" s="37" t="s">
        <v>44</v>
      </c>
      <c r="E387" s="34"/>
      <c r="F387" s="34"/>
      <c r="G387" s="35"/>
      <c r="H387" s="40">
        <v>420000</v>
      </c>
      <c r="I387" s="39">
        <f>182278.21+50934.64+126503.92+8395.03+31861+746545.91+11022.62</f>
        <v>1157541.33</v>
      </c>
    </row>
    <row r="388" spans="1:9" ht="23.25" customHeight="1">
      <c r="A388" s="36">
        <v>14304500</v>
      </c>
      <c r="B388" s="36"/>
      <c r="C388" s="36">
        <f>3261953+3161934</f>
        <v>6423887</v>
      </c>
      <c r="D388" s="37" t="s">
        <v>101</v>
      </c>
      <c r="E388" s="34"/>
      <c r="F388" s="34"/>
      <c r="G388" s="35"/>
      <c r="H388" s="40">
        <v>430000</v>
      </c>
      <c r="I388" s="39"/>
    </row>
    <row r="389" spans="1:9" ht="23.25" customHeight="1" thickBot="1">
      <c r="A389" s="41">
        <f>SUM(A383:A388)</f>
        <v>27650000</v>
      </c>
      <c r="B389" s="41"/>
      <c r="C389" s="42">
        <f>SUM(C383:C388)</f>
        <v>11292093.23</v>
      </c>
      <c r="D389" s="37"/>
      <c r="E389" s="34"/>
      <c r="F389" s="34"/>
      <c r="G389" s="35"/>
      <c r="H389" s="40"/>
      <c r="I389" s="41">
        <f>SUM(I383:I388)</f>
        <v>1201880.62</v>
      </c>
    </row>
    <row r="390" spans="1:9" ht="23.25" customHeight="1" thickTop="1">
      <c r="A390" s="36"/>
      <c r="B390" s="36"/>
      <c r="C390" s="36">
        <v>2566</v>
      </c>
      <c r="D390" s="37" t="s">
        <v>231</v>
      </c>
      <c r="E390" s="34"/>
      <c r="F390" s="34"/>
      <c r="G390" s="35"/>
      <c r="H390" s="40">
        <v>110605</v>
      </c>
      <c r="I390" s="36"/>
    </row>
    <row r="391" spans="1:9" ht="23.25" customHeight="1">
      <c r="A391" s="36"/>
      <c r="B391" s="36"/>
      <c r="C391" s="36">
        <f>440600+564400+422000+423200</f>
        <v>1850200</v>
      </c>
      <c r="D391" s="37" t="s">
        <v>103</v>
      </c>
      <c r="E391" s="34"/>
      <c r="F391" s="34"/>
      <c r="G391" s="35"/>
      <c r="H391" s="40"/>
      <c r="I391" s="36">
        <f>1000+355800+66400</f>
        <v>423200</v>
      </c>
    </row>
    <row r="392" spans="1:9" ht="23.25" customHeight="1">
      <c r="A392" s="26"/>
      <c r="B392" s="26"/>
      <c r="C392" s="43">
        <f>5599.5+4923.02+13007.36+2976.64+3515.79</f>
        <v>30022.31</v>
      </c>
      <c r="D392" s="44" t="s">
        <v>232</v>
      </c>
      <c r="E392" s="45"/>
      <c r="F392" s="34"/>
      <c r="G392" s="35"/>
      <c r="H392" s="40"/>
      <c r="I392" s="46">
        <v>3515.79</v>
      </c>
    </row>
    <row r="393" spans="1:9" ht="23.25" customHeight="1">
      <c r="A393" s="26"/>
      <c r="B393" s="26"/>
      <c r="C393" s="43">
        <f>429650</f>
        <v>429650</v>
      </c>
      <c r="D393" s="44" t="s">
        <v>233</v>
      </c>
      <c r="E393" s="45"/>
      <c r="F393" s="34"/>
      <c r="G393" s="47"/>
      <c r="H393" s="40"/>
      <c r="I393" s="48"/>
    </row>
    <row r="394" spans="1:9" ht="23.25" customHeight="1">
      <c r="A394" s="26"/>
      <c r="B394" s="26"/>
      <c r="C394" s="43">
        <f>7213+6713+7283+7283+7283</f>
        <v>35775</v>
      </c>
      <c r="D394" s="44" t="s">
        <v>234</v>
      </c>
      <c r="E394" s="45"/>
      <c r="F394" s="34"/>
      <c r="G394" s="35"/>
      <c r="H394" s="49"/>
      <c r="I394" s="48">
        <v>7283</v>
      </c>
    </row>
    <row r="395" spans="1:9" ht="23.25" customHeight="1">
      <c r="A395" s="26"/>
      <c r="B395" s="26"/>
      <c r="C395" s="43">
        <f>639.93+1274.06</f>
        <v>1913.9899999999998</v>
      </c>
      <c r="D395" s="82" t="s">
        <v>407</v>
      </c>
      <c r="E395" s="45"/>
      <c r="F395" s="34"/>
      <c r="G395" s="35"/>
      <c r="H395" s="49"/>
      <c r="I395" s="48">
        <v>1274.06</v>
      </c>
    </row>
    <row r="396" spans="1:9" ht="23.25" customHeight="1">
      <c r="A396" s="26"/>
      <c r="B396" s="26"/>
      <c r="C396" s="43">
        <v>100000</v>
      </c>
      <c r="D396" s="44" t="s">
        <v>235</v>
      </c>
      <c r="E396" s="45"/>
      <c r="F396" s="34"/>
      <c r="G396" s="35"/>
      <c r="H396" s="40"/>
      <c r="I396" s="48"/>
    </row>
    <row r="397" spans="1:9" ht="23.25" customHeight="1">
      <c r="A397" s="26"/>
      <c r="B397" s="26"/>
      <c r="C397" s="43">
        <f>24450+13875+8450</f>
        <v>46775</v>
      </c>
      <c r="D397" s="44" t="s">
        <v>236</v>
      </c>
      <c r="E397" s="45"/>
      <c r="F397" s="34"/>
      <c r="G397" s="35"/>
      <c r="H397" s="40"/>
      <c r="I397" s="48">
        <v>8450</v>
      </c>
    </row>
    <row r="398" spans="1:9" ht="23.25" customHeight="1">
      <c r="A398" s="26"/>
      <c r="B398" s="26"/>
      <c r="C398" s="43">
        <f>29388+51250+29187+29374+36674</f>
        <v>175873</v>
      </c>
      <c r="D398" s="44" t="s">
        <v>239</v>
      </c>
      <c r="E398" s="45"/>
      <c r="F398" s="34"/>
      <c r="G398" s="35"/>
      <c r="H398" s="40"/>
      <c r="I398" s="48">
        <v>36674</v>
      </c>
    </row>
    <row r="399" spans="1:9" ht="23.25" customHeight="1">
      <c r="A399" s="26"/>
      <c r="B399" s="26"/>
      <c r="C399" s="43">
        <f>63100+63100+63100+57400+46000</f>
        <v>292700</v>
      </c>
      <c r="D399" s="44" t="s">
        <v>240</v>
      </c>
      <c r="E399" s="45"/>
      <c r="F399" s="34"/>
      <c r="G399" s="34"/>
      <c r="H399" s="40"/>
      <c r="I399" s="47">
        <v>46000</v>
      </c>
    </row>
    <row r="400" spans="1:9" ht="23.25" customHeight="1">
      <c r="A400" s="26"/>
      <c r="B400" s="26"/>
      <c r="C400" s="43">
        <f>81086+54466+78186+74435+74435</f>
        <v>362608</v>
      </c>
      <c r="D400" s="44" t="s">
        <v>241</v>
      </c>
      <c r="E400" s="45"/>
      <c r="F400" s="34"/>
      <c r="G400" s="34"/>
      <c r="H400" s="40"/>
      <c r="I400" s="47">
        <v>74435</v>
      </c>
    </row>
    <row r="401" spans="1:12" ht="23.25" customHeight="1">
      <c r="A401" s="26"/>
      <c r="B401" s="26"/>
      <c r="C401" s="43">
        <f>22027+22027+27315+27212+27351</f>
        <v>125932</v>
      </c>
      <c r="D401" s="44" t="s">
        <v>242</v>
      </c>
      <c r="E401" s="45"/>
      <c r="F401" s="34"/>
      <c r="G401" s="34"/>
      <c r="H401" s="40"/>
      <c r="I401" s="47">
        <v>27351</v>
      </c>
      <c r="L401" s="51"/>
    </row>
    <row r="402" spans="1:12" ht="23.25" customHeight="1">
      <c r="A402" s="26"/>
      <c r="B402" s="26"/>
      <c r="C402" s="43">
        <v>7.1</v>
      </c>
      <c r="D402" s="44" t="s">
        <v>38</v>
      </c>
      <c r="E402" s="45"/>
      <c r="F402" s="34"/>
      <c r="G402" s="34"/>
      <c r="H402" s="40"/>
      <c r="I402" s="47"/>
      <c r="L402" s="51"/>
    </row>
    <row r="403" spans="1:12" ht="23.25" customHeight="1">
      <c r="A403" s="26"/>
      <c r="B403" s="26"/>
      <c r="C403" s="43"/>
      <c r="D403" s="44"/>
      <c r="E403" s="45"/>
      <c r="F403" s="34"/>
      <c r="G403" s="34"/>
      <c r="H403" s="40"/>
      <c r="I403" s="47"/>
      <c r="L403" s="51"/>
    </row>
    <row r="404" spans="1:12" ht="23.25" customHeight="1" thickBot="1">
      <c r="A404" s="26"/>
      <c r="B404" s="26"/>
      <c r="C404" s="52">
        <f>SUM(C390:C403)</f>
        <v>3454022.4000000004</v>
      </c>
      <c r="D404" s="37"/>
      <c r="E404" s="34"/>
      <c r="F404" s="34"/>
      <c r="G404" s="34"/>
      <c r="H404" s="35"/>
      <c r="I404" s="54">
        <f>SUM(I390:I402)</f>
        <v>628182.85</v>
      </c>
      <c r="L404" s="51"/>
    </row>
    <row r="405" spans="1:12" ht="23.25" customHeight="1" thickBot="1">
      <c r="A405" s="55">
        <f>SUM(A389)</f>
        <v>27650000</v>
      </c>
      <c r="B405" s="211"/>
      <c r="C405" s="41">
        <f>SUM(C389+C404)</f>
        <v>14746115.63</v>
      </c>
      <c r="D405" s="37"/>
      <c r="E405" s="34"/>
      <c r="F405" s="56" t="s">
        <v>106</v>
      </c>
      <c r="G405" s="34"/>
      <c r="H405" s="35"/>
      <c r="I405" s="41">
        <f>SUM(I389+I404)</f>
        <v>1830063.4700000002</v>
      </c>
      <c r="L405" s="51"/>
    </row>
    <row r="406" spans="1:12" ht="23.25" customHeight="1">
      <c r="A406" s="57"/>
      <c r="B406" s="57"/>
      <c r="C406" s="57"/>
      <c r="D406" s="34"/>
      <c r="E406" s="34"/>
      <c r="F406" s="56"/>
      <c r="G406" s="34"/>
      <c r="H406" s="34"/>
      <c r="I406" s="57"/>
      <c r="L406" s="51"/>
    </row>
    <row r="407" spans="1:12" ht="23.25" customHeight="1">
      <c r="A407" s="57"/>
      <c r="B407" s="57"/>
      <c r="C407" s="57"/>
      <c r="D407" s="34"/>
      <c r="E407" s="34"/>
      <c r="F407" s="56"/>
      <c r="G407" s="34"/>
      <c r="H407" s="34"/>
      <c r="I407" s="57"/>
      <c r="L407" s="51"/>
    </row>
    <row r="408" spans="1:12" ht="23.25" customHeight="1">
      <c r="A408" s="57"/>
      <c r="B408" s="57"/>
      <c r="C408" s="57"/>
      <c r="D408" s="34"/>
      <c r="E408" s="34"/>
      <c r="F408" s="56"/>
      <c r="G408" s="34"/>
      <c r="H408" s="34"/>
      <c r="I408" s="57"/>
      <c r="L408" s="51"/>
    </row>
    <row r="409" spans="1:12" ht="23.25" customHeight="1">
      <c r="A409" s="57"/>
      <c r="B409" s="57"/>
      <c r="C409" s="57"/>
      <c r="D409" s="34"/>
      <c r="E409" s="34"/>
      <c r="F409" s="56"/>
      <c r="G409" s="34"/>
      <c r="H409" s="34"/>
      <c r="I409" s="57"/>
      <c r="L409" s="51"/>
    </row>
    <row r="410" spans="1:12" ht="23.25" customHeight="1">
      <c r="A410" s="57"/>
      <c r="B410" s="57"/>
      <c r="C410" s="57"/>
      <c r="D410" s="34"/>
      <c r="E410" s="34"/>
      <c r="F410" s="56"/>
      <c r="G410" s="34"/>
      <c r="H410" s="34"/>
      <c r="I410" s="57"/>
      <c r="L410" s="51"/>
    </row>
    <row r="411" spans="1:12" ht="23.25" customHeight="1">
      <c r="A411" s="57"/>
      <c r="B411" s="57"/>
      <c r="C411" s="57"/>
      <c r="D411" s="34"/>
      <c r="E411" s="34"/>
      <c r="F411" s="56"/>
      <c r="G411" s="34"/>
      <c r="H411" s="34"/>
      <c r="I411" s="57"/>
      <c r="L411" s="51"/>
    </row>
    <row r="412" spans="1:12" ht="23.25" customHeight="1">
      <c r="A412" s="57"/>
      <c r="B412" s="57"/>
      <c r="C412" s="57"/>
      <c r="D412" s="34"/>
      <c r="E412" s="34"/>
      <c r="F412" s="56"/>
      <c r="G412" s="34"/>
      <c r="H412" s="34"/>
      <c r="I412" s="57"/>
      <c r="L412" s="51"/>
    </row>
    <row r="413" spans="1:12" ht="23.25" customHeight="1">
      <c r="A413" s="57"/>
      <c r="B413" s="57"/>
      <c r="C413" s="57"/>
      <c r="D413" s="34"/>
      <c r="E413" s="34"/>
      <c r="F413" s="56"/>
      <c r="G413" s="34"/>
      <c r="H413" s="34"/>
      <c r="I413" s="57"/>
      <c r="L413" s="51"/>
    </row>
    <row r="414" spans="1:12" ht="23.25" customHeight="1">
      <c r="A414" s="57"/>
      <c r="B414" s="57"/>
      <c r="C414" s="57"/>
      <c r="D414" s="34"/>
      <c r="E414" s="34"/>
      <c r="F414" s="56"/>
      <c r="G414" s="34"/>
      <c r="H414" s="34"/>
      <c r="I414" s="57"/>
      <c r="L414" s="51"/>
    </row>
    <row r="415" spans="1:12" ht="23.25" customHeight="1">
      <c r="A415" s="57"/>
      <c r="B415" s="57"/>
      <c r="C415" s="57"/>
      <c r="D415" s="34"/>
      <c r="E415" s="34"/>
      <c r="F415" s="56"/>
      <c r="G415" s="34"/>
      <c r="H415" s="34"/>
      <c r="I415" s="57"/>
      <c r="L415" s="51"/>
    </row>
    <row r="416" spans="1:12" ht="23.25" customHeight="1">
      <c r="A416" s="57"/>
      <c r="B416" s="57"/>
      <c r="C416" s="57"/>
      <c r="D416" s="34"/>
      <c r="E416" s="34"/>
      <c r="F416" s="56"/>
      <c r="G416" s="34"/>
      <c r="H416" s="34"/>
      <c r="I416" s="57"/>
      <c r="L416" s="51"/>
    </row>
    <row r="417" spans="1:12" ht="23.25" customHeight="1">
      <c r="A417" s="57"/>
      <c r="B417" s="57"/>
      <c r="C417" s="57"/>
      <c r="D417" s="34"/>
      <c r="E417" s="34"/>
      <c r="F417" s="56"/>
      <c r="G417" s="34"/>
      <c r="H417" s="34"/>
      <c r="I417" s="57"/>
      <c r="L417" s="51"/>
    </row>
    <row r="418" spans="1:9" ht="23.25" customHeight="1">
      <c r="A418" s="57"/>
      <c r="B418" s="57"/>
      <c r="C418" s="57"/>
      <c r="D418" s="34"/>
      <c r="E418" s="34"/>
      <c r="F418" s="56"/>
      <c r="G418" s="34"/>
      <c r="H418" s="34"/>
      <c r="I418" s="57"/>
    </row>
    <row r="419" spans="1:9" ht="23.25" customHeight="1">
      <c r="A419" s="57"/>
      <c r="B419" s="57"/>
      <c r="C419" s="57"/>
      <c r="D419" s="34"/>
      <c r="E419" s="34"/>
      <c r="F419" s="56"/>
      <c r="G419" s="34"/>
      <c r="H419" s="34"/>
      <c r="I419" s="57"/>
    </row>
    <row r="420" spans="1:9" ht="23.25" customHeight="1">
      <c r="A420" s="57"/>
      <c r="B420" s="57"/>
      <c r="C420" s="57"/>
      <c r="D420" s="34"/>
      <c r="E420" s="34"/>
      <c r="F420" s="56"/>
      <c r="G420" s="34"/>
      <c r="H420" s="34"/>
      <c r="I420" s="57"/>
    </row>
    <row r="421" spans="1:9" ht="23.25" customHeight="1">
      <c r="A421" s="57"/>
      <c r="B421" s="57"/>
      <c r="C421" s="57"/>
      <c r="D421" s="34"/>
      <c r="E421" s="34"/>
      <c r="F421" s="56"/>
      <c r="G421" s="34"/>
      <c r="H421" s="34"/>
      <c r="I421" s="57"/>
    </row>
    <row r="422" spans="1:9" ht="23.25" customHeight="1">
      <c r="A422" s="333">
        <v>2</v>
      </c>
      <c r="B422" s="333"/>
      <c r="C422" s="333"/>
      <c r="D422" s="333"/>
      <c r="E422" s="333"/>
      <c r="F422" s="333"/>
      <c r="G422" s="333"/>
      <c r="H422" s="333"/>
      <c r="I422" s="333"/>
    </row>
    <row r="423" spans="1:9" ht="23.25" customHeight="1">
      <c r="A423" s="350" t="s">
        <v>91</v>
      </c>
      <c r="B423" s="351"/>
      <c r="C423" s="352"/>
      <c r="D423" s="58"/>
      <c r="E423" s="58"/>
      <c r="F423" s="58"/>
      <c r="G423" s="58"/>
      <c r="H423" s="59" t="s">
        <v>86</v>
      </c>
      <c r="I423" s="60" t="s">
        <v>88</v>
      </c>
    </row>
    <row r="424" spans="1:9" ht="23.25" customHeight="1">
      <c r="A424" s="59" t="s">
        <v>39</v>
      </c>
      <c r="B424" s="59" t="s">
        <v>228</v>
      </c>
      <c r="C424" s="59" t="s">
        <v>85</v>
      </c>
      <c r="D424" s="353" t="s">
        <v>78</v>
      </c>
      <c r="E424" s="353"/>
      <c r="F424" s="353"/>
      <c r="G424" s="353"/>
      <c r="H424" s="62" t="s">
        <v>87</v>
      </c>
      <c r="I424" s="59" t="s">
        <v>85</v>
      </c>
    </row>
    <row r="425" spans="1:9" ht="23.25" customHeight="1">
      <c r="A425" s="64" t="s">
        <v>40</v>
      </c>
      <c r="B425" s="216" t="s">
        <v>229</v>
      </c>
      <c r="C425" s="64" t="s">
        <v>40</v>
      </c>
      <c r="D425" s="65"/>
      <c r="E425" s="65"/>
      <c r="F425" s="65"/>
      <c r="G425" s="65"/>
      <c r="H425" s="66"/>
      <c r="I425" s="64" t="s">
        <v>40</v>
      </c>
    </row>
    <row r="426" spans="1:9" ht="23.25" customHeight="1">
      <c r="A426" s="68"/>
      <c r="B426" s="68"/>
      <c r="C426" s="68"/>
      <c r="D426" s="69" t="s">
        <v>92</v>
      </c>
      <c r="E426" s="70"/>
      <c r="F426" s="70"/>
      <c r="G426" s="70"/>
      <c r="H426" s="71"/>
      <c r="I426" s="72"/>
    </row>
    <row r="427" spans="1:9" ht="23.25" customHeight="1">
      <c r="A427" s="73">
        <v>6761806</v>
      </c>
      <c r="B427" s="73"/>
      <c r="C427" s="73">
        <f>572455+479826+930683+589283+440683</f>
        <v>3012930</v>
      </c>
      <c r="D427" s="70" t="s">
        <v>45</v>
      </c>
      <c r="F427" s="70"/>
      <c r="G427" s="70"/>
      <c r="H427" s="74">
        <v>510000</v>
      </c>
      <c r="I427" s="73">
        <f>18483+355800+66400</f>
        <v>440683</v>
      </c>
    </row>
    <row r="428" spans="1:9" ht="23.25" customHeight="1">
      <c r="A428" s="73">
        <v>2484720</v>
      </c>
      <c r="B428" s="73"/>
      <c r="C428" s="73">
        <f>I428+207060+207060+207060+207060</f>
        <v>1035300</v>
      </c>
      <c r="D428" s="70" t="s">
        <v>135</v>
      </c>
      <c r="F428" s="70"/>
      <c r="G428" s="70"/>
      <c r="H428" s="74">
        <v>521000</v>
      </c>
      <c r="I428" s="75">
        <v>207060</v>
      </c>
    </row>
    <row r="429" spans="1:9" ht="23.25" customHeight="1">
      <c r="A429" s="73">
        <f>5864260-162420</f>
        <v>5701840</v>
      </c>
      <c r="B429" s="73"/>
      <c r="C429" s="73">
        <f>340780+340780+340780+341490+341040</f>
        <v>1704870</v>
      </c>
      <c r="D429" s="70" t="s">
        <v>107</v>
      </c>
      <c r="F429" s="70"/>
      <c r="G429" s="70"/>
      <c r="H429" s="74">
        <v>522000</v>
      </c>
      <c r="I429" s="75">
        <v>341040</v>
      </c>
    </row>
    <row r="430" spans="1:9" ht="23.25" customHeight="1">
      <c r="A430" s="73">
        <v>162420</v>
      </c>
      <c r="B430" s="73"/>
      <c r="C430" s="73">
        <f>13310+13310+13310+13310+13310</f>
        <v>66550</v>
      </c>
      <c r="D430" s="70" t="s">
        <v>93</v>
      </c>
      <c r="F430" s="70"/>
      <c r="G430" s="70"/>
      <c r="H430" s="74">
        <v>522000</v>
      </c>
      <c r="I430" s="75">
        <v>13310</v>
      </c>
    </row>
    <row r="431" spans="1:9" ht="23.25" customHeight="1">
      <c r="A431" s="73">
        <v>1938624</v>
      </c>
      <c r="B431" s="73"/>
      <c r="C431" s="73">
        <f>147075+137075+148475+148475+148475</f>
        <v>729575</v>
      </c>
      <c r="D431" s="70" t="s">
        <v>33</v>
      </c>
      <c r="F431" s="70"/>
      <c r="G431" s="70"/>
      <c r="H431" s="74">
        <v>522000</v>
      </c>
      <c r="I431" s="75">
        <v>148475</v>
      </c>
    </row>
    <row r="432" spans="1:9" ht="23.25" customHeight="1">
      <c r="A432" s="73">
        <v>895670</v>
      </c>
      <c r="B432" s="73"/>
      <c r="C432" s="73">
        <f>7400+15115+20000+9930+13000</f>
        <v>65445</v>
      </c>
      <c r="D432" s="70" t="s">
        <v>80</v>
      </c>
      <c r="F432" s="70"/>
      <c r="G432" s="70"/>
      <c r="H432" s="74">
        <v>531000</v>
      </c>
      <c r="I432" s="75">
        <v>13000</v>
      </c>
    </row>
    <row r="433" spans="1:9" ht="23.25" customHeight="1">
      <c r="A433" s="73">
        <v>4175470</v>
      </c>
      <c r="B433" s="73"/>
      <c r="C433" s="73">
        <f>112050+193659.29-0.9+428958.85+220010+228739.5</f>
        <v>1183416.74</v>
      </c>
      <c r="D433" s="70" t="s">
        <v>81</v>
      </c>
      <c r="F433" s="70"/>
      <c r="G433" s="70"/>
      <c r="H433" s="76">
        <v>532000</v>
      </c>
      <c r="I433" s="75">
        <v>228739.5</v>
      </c>
    </row>
    <row r="434" spans="1:9" ht="23.25" customHeight="1">
      <c r="A434" s="77">
        <v>1880550</v>
      </c>
      <c r="B434" s="77"/>
      <c r="C434" s="73">
        <f>90550+156574+221628.39+31381</f>
        <v>500133.39</v>
      </c>
      <c r="D434" s="70" t="s">
        <v>83</v>
      </c>
      <c r="F434" s="70"/>
      <c r="G434" s="70"/>
      <c r="H434" s="76">
        <v>533000</v>
      </c>
      <c r="I434" s="75">
        <v>31381</v>
      </c>
    </row>
    <row r="435" spans="1:9" ht="23.25" customHeight="1">
      <c r="A435" s="77">
        <v>216000</v>
      </c>
      <c r="B435" s="77"/>
      <c r="C435" s="73">
        <f>3992.17+10529.38+15448.29+22732.73+7784.88</f>
        <v>60487.45</v>
      </c>
      <c r="D435" s="70" t="s">
        <v>34</v>
      </c>
      <c r="F435" s="70"/>
      <c r="G435" s="70"/>
      <c r="H435" s="76">
        <v>534000</v>
      </c>
      <c r="I435" s="75">
        <v>7784.88</v>
      </c>
    </row>
    <row r="436" spans="1:9" ht="23.25" customHeight="1">
      <c r="A436" s="77">
        <v>301900</v>
      </c>
      <c r="B436" s="77"/>
      <c r="C436" s="73">
        <v>72600</v>
      </c>
      <c r="D436" s="70" t="s">
        <v>36</v>
      </c>
      <c r="F436" s="70"/>
      <c r="G436" s="70"/>
      <c r="H436" s="76">
        <v>541000</v>
      </c>
      <c r="I436" s="75">
        <v>65500</v>
      </c>
    </row>
    <row r="437" spans="1:9" ht="23.25" customHeight="1">
      <c r="A437" s="77">
        <v>2041000</v>
      </c>
      <c r="B437" s="77"/>
      <c r="C437" s="73">
        <f>I437</f>
        <v>0</v>
      </c>
      <c r="D437" s="70" t="s">
        <v>37</v>
      </c>
      <c r="F437" s="70"/>
      <c r="G437" s="70"/>
      <c r="H437" s="76">
        <v>542000</v>
      </c>
      <c r="I437" s="75">
        <v>0</v>
      </c>
    </row>
    <row r="438" spans="1:9" ht="23.25" customHeight="1">
      <c r="A438" s="77">
        <v>1090000</v>
      </c>
      <c r="B438" s="77"/>
      <c r="C438" s="73">
        <f>253000+20000+330522.47</f>
        <v>603522.47</v>
      </c>
      <c r="D438" s="70" t="s">
        <v>35</v>
      </c>
      <c r="F438" s="70"/>
      <c r="G438" s="70"/>
      <c r="H438" s="76">
        <v>560000</v>
      </c>
      <c r="I438" s="73">
        <v>0</v>
      </c>
    </row>
    <row r="439" spans="1:9" ht="23.25" customHeight="1">
      <c r="A439" s="77"/>
      <c r="B439" s="77"/>
      <c r="C439" s="73">
        <f>I439</f>
        <v>0</v>
      </c>
      <c r="D439" s="70" t="s">
        <v>122</v>
      </c>
      <c r="F439" s="70"/>
      <c r="G439" s="70"/>
      <c r="H439" s="76">
        <v>550000</v>
      </c>
      <c r="I439" s="73">
        <v>0</v>
      </c>
    </row>
    <row r="440" spans="1:9" ht="23.25" customHeight="1" thickBot="1">
      <c r="A440" s="78">
        <f>SUM(A426:A439)</f>
        <v>27650000</v>
      </c>
      <c r="B440" s="78"/>
      <c r="C440" s="90">
        <f>SUM(C427:C439)</f>
        <v>9034830.05</v>
      </c>
      <c r="D440" s="70"/>
      <c r="E440" s="70"/>
      <c r="F440" s="70"/>
      <c r="G440" s="70"/>
      <c r="H440" s="76"/>
      <c r="I440" s="90">
        <f>SUM(I426:I439)</f>
        <v>1496973.38</v>
      </c>
    </row>
    <row r="441" spans="1:9" ht="23.25" customHeight="1" thickTop="1">
      <c r="A441" s="80"/>
      <c r="B441" s="80"/>
      <c r="C441" s="73">
        <v>2566</v>
      </c>
      <c r="D441" s="70" t="s">
        <v>201</v>
      </c>
      <c r="E441" s="70"/>
      <c r="F441" s="70"/>
      <c r="G441" s="70"/>
      <c r="H441" s="76"/>
      <c r="I441" s="73"/>
    </row>
    <row r="442" spans="1:9" ht="23.25" customHeight="1">
      <c r="A442" s="80"/>
      <c r="B442" s="80"/>
      <c r="C442" s="73">
        <f>440600+564400+422000+429300</f>
        <v>1856300</v>
      </c>
      <c r="D442" s="70" t="s">
        <v>103</v>
      </c>
      <c r="E442" s="70"/>
      <c r="F442" s="70"/>
      <c r="G442" s="70"/>
      <c r="H442" s="76"/>
      <c r="I442" s="73">
        <v>429300</v>
      </c>
    </row>
    <row r="443" spans="1:9" ht="23.25" customHeight="1">
      <c r="A443" s="83"/>
      <c r="B443" s="83"/>
      <c r="C443" s="73">
        <f>475000+253800+392500+17238.5</f>
        <v>1138538.5</v>
      </c>
      <c r="D443" s="82" t="s">
        <v>18</v>
      </c>
      <c r="E443" s="34"/>
      <c r="F443" s="70"/>
      <c r="G443" s="70"/>
      <c r="H443" s="74"/>
      <c r="I443" s="73">
        <v>0</v>
      </c>
    </row>
    <row r="444" spans="1:9" ht="23.25" customHeight="1">
      <c r="A444" s="83"/>
      <c r="B444" s="83"/>
      <c r="C444" s="73">
        <f>166200+263450</f>
        <v>429650</v>
      </c>
      <c r="D444" s="82" t="s">
        <v>389</v>
      </c>
      <c r="E444" s="34"/>
      <c r="F444" s="70"/>
      <c r="G444" s="70"/>
      <c r="H444" s="74"/>
      <c r="I444" s="73">
        <v>0</v>
      </c>
    </row>
    <row r="445" spans="1:9" ht="23.25" customHeight="1">
      <c r="A445" s="81"/>
      <c r="B445" s="81"/>
      <c r="C445" s="73">
        <f>6988.19+5599.5+4923.02+13007.36+2976.64</f>
        <v>33494.71</v>
      </c>
      <c r="D445" s="82" t="s">
        <v>232</v>
      </c>
      <c r="E445" s="34"/>
      <c r="F445" s="70"/>
      <c r="G445" s="70"/>
      <c r="H445" s="74"/>
      <c r="I445" s="73">
        <v>2976.64</v>
      </c>
    </row>
    <row r="446" spans="1:9" ht="23.25" customHeight="1">
      <c r="A446" s="81"/>
      <c r="B446" s="81"/>
      <c r="C446" s="73">
        <v>2842.38</v>
      </c>
      <c r="D446" s="82" t="s">
        <v>407</v>
      </c>
      <c r="E446" s="34"/>
      <c r="F446" s="70"/>
      <c r="G446" s="70"/>
      <c r="H446" s="74"/>
      <c r="I446" s="73">
        <v>0</v>
      </c>
    </row>
    <row r="447" spans="1:9" ht="23.25" customHeight="1">
      <c r="A447" s="81"/>
      <c r="B447" s="81"/>
      <c r="C447" s="73">
        <f>16050+9450</f>
        <v>25500</v>
      </c>
      <c r="D447" s="34" t="s">
        <v>237</v>
      </c>
      <c r="F447" s="70"/>
      <c r="G447" s="70"/>
      <c r="H447" s="76">
        <v>300000</v>
      </c>
      <c r="I447" s="73">
        <v>9450</v>
      </c>
    </row>
    <row r="448" spans="1:9" ht="23.25" customHeight="1">
      <c r="A448" s="81"/>
      <c r="B448" s="81"/>
      <c r="C448" s="73">
        <f>13926+7283+7283+7283</f>
        <v>35775</v>
      </c>
      <c r="D448" s="82" t="s">
        <v>238</v>
      </c>
      <c r="E448" s="45"/>
      <c r="F448" s="70"/>
      <c r="G448" s="70"/>
      <c r="H448" s="74">
        <v>230000</v>
      </c>
      <c r="I448" s="73">
        <v>7283</v>
      </c>
    </row>
    <row r="449" spans="1:9" ht="23.25" customHeight="1">
      <c r="A449" s="81"/>
      <c r="B449" s="81"/>
      <c r="C449" s="73">
        <v>100000</v>
      </c>
      <c r="D449" s="82" t="s">
        <v>77</v>
      </c>
      <c r="E449" s="45"/>
      <c r="F449" s="70"/>
      <c r="G449" s="70"/>
      <c r="H449" s="74">
        <v>110605</v>
      </c>
      <c r="I449" s="73"/>
    </row>
    <row r="450" spans="1:9" ht="23.25" customHeight="1">
      <c r="A450" s="81"/>
      <c r="B450" s="81"/>
      <c r="C450" s="77">
        <f>29388+51250+29187+29374+36674</f>
        <v>175873</v>
      </c>
      <c r="D450" s="213" t="s">
        <v>239</v>
      </c>
      <c r="E450" s="45"/>
      <c r="F450" s="34"/>
      <c r="G450" s="34"/>
      <c r="H450" s="214"/>
      <c r="I450" s="47">
        <v>36674</v>
      </c>
    </row>
    <row r="451" spans="1:9" ht="23.25" customHeight="1">
      <c r="A451" s="81"/>
      <c r="B451" s="81"/>
      <c r="C451" s="77">
        <f>63100+63100+63100+57400+46000</f>
        <v>292700</v>
      </c>
      <c r="D451" s="213" t="s">
        <v>240</v>
      </c>
      <c r="E451" s="45"/>
      <c r="F451" s="34"/>
      <c r="G451" s="34"/>
      <c r="H451" s="214"/>
      <c r="I451" s="47">
        <v>46000</v>
      </c>
    </row>
    <row r="452" spans="1:9" ht="23.25" customHeight="1">
      <c r="A452" s="81"/>
      <c r="B452" s="81"/>
      <c r="C452" s="77">
        <f>81086+54466+78186+74435+74435</f>
        <v>362608</v>
      </c>
      <c r="D452" s="213" t="s">
        <v>241</v>
      </c>
      <c r="E452" s="45"/>
      <c r="F452" s="34"/>
      <c r="G452" s="34"/>
      <c r="H452" s="214"/>
      <c r="I452" s="47">
        <v>74435</v>
      </c>
    </row>
    <row r="453" spans="1:9" ht="23.25" customHeight="1">
      <c r="A453" s="81"/>
      <c r="B453" s="81"/>
      <c r="C453" s="77">
        <f>22027+22027+27315+27212+27351</f>
        <v>125932</v>
      </c>
      <c r="D453" s="213" t="s">
        <v>242</v>
      </c>
      <c r="E453" s="45"/>
      <c r="F453" s="34"/>
      <c r="G453" s="34"/>
      <c r="H453" s="214"/>
      <c r="I453" s="47">
        <v>27351</v>
      </c>
    </row>
    <row r="454" spans="1:9" ht="23.25" customHeight="1">
      <c r="A454" s="81"/>
      <c r="B454" s="81"/>
      <c r="C454" s="73"/>
      <c r="D454" s="82"/>
      <c r="E454" s="45"/>
      <c r="F454" s="70"/>
      <c r="G454" s="70"/>
      <c r="H454" s="74"/>
      <c r="I454" s="73"/>
    </row>
    <row r="455" spans="1:9" ht="23.25" customHeight="1">
      <c r="A455" s="85"/>
      <c r="B455" s="85"/>
      <c r="C455" s="86">
        <f>SUM(C441:C454)</f>
        <v>4581779.59</v>
      </c>
      <c r="D455" s="82"/>
      <c r="E455" s="45"/>
      <c r="F455" s="70"/>
      <c r="G455" s="70"/>
      <c r="H455" s="87"/>
      <c r="I455" s="88">
        <f>SUM(I441:I454)</f>
        <v>633469.64</v>
      </c>
    </row>
    <row r="456" spans="1:9" ht="23.25" customHeight="1" thickBot="1">
      <c r="A456" s="89">
        <f>SUM(A440)</f>
        <v>27650000</v>
      </c>
      <c r="B456" s="89"/>
      <c r="C456" s="90">
        <f>SUM(C440+C455)</f>
        <v>13616609.64</v>
      </c>
      <c r="D456" s="333" t="s">
        <v>94</v>
      </c>
      <c r="E456" s="333"/>
      <c r="F456" s="333"/>
      <c r="G456" s="333"/>
      <c r="H456" s="34"/>
      <c r="I456" s="90">
        <f>SUM(I440+I455)</f>
        <v>2130443.02</v>
      </c>
    </row>
    <row r="457" spans="1:9" ht="23.25" customHeight="1" thickTop="1">
      <c r="A457" s="70"/>
      <c r="B457" s="70"/>
      <c r="C457" s="68"/>
      <c r="D457" s="333" t="s">
        <v>95</v>
      </c>
      <c r="E457" s="333"/>
      <c r="F457" s="333"/>
      <c r="G457" s="333"/>
      <c r="H457" s="70"/>
      <c r="I457" s="91"/>
    </row>
    <row r="458" spans="1:9" ht="23.25" customHeight="1">
      <c r="A458" s="70"/>
      <c r="B458" s="70"/>
      <c r="C458" s="68"/>
      <c r="D458" s="333" t="s">
        <v>96</v>
      </c>
      <c r="E458" s="333"/>
      <c r="F458" s="333"/>
      <c r="G458" s="333"/>
      <c r="H458" s="70"/>
      <c r="I458" s="91"/>
    </row>
    <row r="459" spans="1:12" ht="23.25" customHeight="1">
      <c r="A459" s="69"/>
      <c r="B459" s="69"/>
      <c r="C459" s="92">
        <f>C405-C456</f>
        <v>1129505.9900000002</v>
      </c>
      <c r="D459" s="348" t="s">
        <v>98</v>
      </c>
      <c r="E459" s="348"/>
      <c r="F459" s="348"/>
      <c r="G459" s="348"/>
      <c r="H459" s="69"/>
      <c r="I459" s="92">
        <f>I405-I456</f>
        <v>-300379.5499999998</v>
      </c>
      <c r="L459" s="51">
        <f>C460-I460</f>
        <v>0</v>
      </c>
    </row>
    <row r="460" spans="1:9" ht="23.25" customHeight="1">
      <c r="A460" s="69"/>
      <c r="B460" s="69"/>
      <c r="C460" s="95">
        <f>SUM(C381+C405-C456)</f>
        <v>12421432.48</v>
      </c>
      <c r="D460" s="348" t="s">
        <v>97</v>
      </c>
      <c r="E460" s="348"/>
      <c r="F460" s="348"/>
      <c r="G460" s="348"/>
      <c r="H460" s="69"/>
      <c r="I460" s="95">
        <f>SUM(I381+I405-I456)</f>
        <v>12421432.48</v>
      </c>
    </row>
    <row r="461" spans="1:9" ht="23.25" customHeight="1">
      <c r="A461" s="69"/>
      <c r="B461" s="69"/>
      <c r="C461" s="217"/>
      <c r="D461" s="206"/>
      <c r="E461" s="206"/>
      <c r="F461" s="206"/>
      <c r="G461" s="206"/>
      <c r="H461" s="69"/>
      <c r="I461" s="217"/>
    </row>
    <row r="462" spans="1:9" ht="23.25" customHeight="1">
      <c r="A462" s="70"/>
      <c r="B462" s="70"/>
      <c r="C462" s="70"/>
      <c r="D462" s="70"/>
      <c r="E462" s="70"/>
      <c r="F462" s="70"/>
      <c r="G462" s="70"/>
      <c r="H462" s="70"/>
      <c r="I462" s="70"/>
    </row>
    <row r="463" spans="1:9" ht="23.25" customHeight="1">
      <c r="A463" s="349" t="s">
        <v>262</v>
      </c>
      <c r="B463" s="349"/>
      <c r="C463" s="349"/>
      <c r="D463" s="349" t="s">
        <v>263</v>
      </c>
      <c r="E463" s="349"/>
      <c r="F463" s="349"/>
      <c r="G463" s="349" t="s">
        <v>5</v>
      </c>
      <c r="H463" s="349"/>
      <c r="I463" s="349"/>
    </row>
    <row r="464" spans="1:9" ht="23.25" customHeight="1">
      <c r="A464" s="349" t="s">
        <v>259</v>
      </c>
      <c r="B464" s="349"/>
      <c r="C464" s="349"/>
      <c r="D464" s="333" t="s">
        <v>126</v>
      </c>
      <c r="E464" s="333"/>
      <c r="F464" s="333"/>
      <c r="G464" s="333" t="s">
        <v>264</v>
      </c>
      <c r="H464" s="333"/>
      <c r="I464" s="333"/>
    </row>
    <row r="465" spans="1:9" ht="23.25" customHeight="1">
      <c r="A465" s="346" t="s">
        <v>260</v>
      </c>
      <c r="B465" s="346"/>
      <c r="C465" s="346"/>
      <c r="D465" s="347" t="s">
        <v>127</v>
      </c>
      <c r="E465" s="347"/>
      <c r="F465" s="347"/>
      <c r="G465" s="347" t="s">
        <v>265</v>
      </c>
      <c r="H465" s="347"/>
      <c r="I465" s="347"/>
    </row>
    <row r="466" spans="1:6" ht="23.25" customHeight="1">
      <c r="A466" s="346" t="s">
        <v>261</v>
      </c>
      <c r="B466" s="346"/>
      <c r="C466" s="346"/>
      <c r="D466" s="97"/>
      <c r="E466" s="97"/>
      <c r="F466" s="97"/>
    </row>
    <row r="467" spans="1:9" ht="23.25" customHeight="1">
      <c r="A467" s="97"/>
      <c r="B467" s="97"/>
      <c r="C467" s="97"/>
      <c r="D467" s="97"/>
      <c r="E467" s="97"/>
      <c r="F467" s="97"/>
      <c r="G467" s="97"/>
      <c r="H467" s="97"/>
      <c r="I467" s="97"/>
    </row>
    <row r="468" spans="1:9" ht="23.25" customHeight="1">
      <c r="A468" s="97"/>
      <c r="B468" s="97"/>
      <c r="C468" s="97"/>
      <c r="D468" s="97"/>
      <c r="E468" s="97"/>
      <c r="F468" s="97"/>
      <c r="G468" s="97"/>
      <c r="H468" s="97"/>
      <c r="I468" s="97"/>
    </row>
    <row r="469" spans="1:9" ht="23.25" customHeight="1">
      <c r="A469" s="335" t="s">
        <v>132</v>
      </c>
      <c r="B469" s="335"/>
      <c r="C469" s="335"/>
      <c r="D469" s="335"/>
      <c r="E469" s="335"/>
      <c r="F469" s="335"/>
      <c r="G469" s="335"/>
      <c r="H469" s="335"/>
      <c r="I469" s="335"/>
    </row>
    <row r="470" spans="1:9" ht="23.25" customHeight="1">
      <c r="A470" s="348" t="s">
        <v>102</v>
      </c>
      <c r="B470" s="348"/>
      <c r="C470" s="348"/>
      <c r="D470" s="348"/>
      <c r="E470" s="348"/>
      <c r="F470" s="348"/>
      <c r="G470" s="348"/>
      <c r="H470" s="348"/>
      <c r="I470" s="348"/>
    </row>
    <row r="471" spans="1:9" ht="23.25" customHeight="1" thickBot="1">
      <c r="A471" s="206"/>
      <c r="B471" s="354" t="s">
        <v>417</v>
      </c>
      <c r="C471" s="354"/>
      <c r="D471" s="354"/>
      <c r="E471" s="354"/>
      <c r="F471" s="354"/>
      <c r="G471" s="354"/>
      <c r="H471" s="354"/>
      <c r="I471" s="206"/>
    </row>
    <row r="472" spans="1:9" ht="23.25" customHeight="1" thickBot="1">
      <c r="A472" s="355" t="s">
        <v>84</v>
      </c>
      <c r="B472" s="356"/>
      <c r="C472" s="357"/>
      <c r="D472" s="358" t="s">
        <v>78</v>
      </c>
      <c r="E472" s="359"/>
      <c r="F472" s="359"/>
      <c r="G472" s="360"/>
      <c r="H472" s="21" t="s">
        <v>86</v>
      </c>
      <c r="I472" s="22" t="s">
        <v>88</v>
      </c>
    </row>
    <row r="473" spans="1:9" ht="23.25" customHeight="1">
      <c r="A473" s="21" t="s">
        <v>39</v>
      </c>
      <c r="B473" s="21" t="s">
        <v>228</v>
      </c>
      <c r="C473" s="21" t="s">
        <v>85</v>
      </c>
      <c r="D473" s="361"/>
      <c r="E473" s="362"/>
      <c r="F473" s="362"/>
      <c r="G473" s="363"/>
      <c r="H473" s="23" t="s">
        <v>87</v>
      </c>
      <c r="I473" s="21" t="s">
        <v>85</v>
      </c>
    </row>
    <row r="474" spans="1:9" ht="23.25" customHeight="1" thickBot="1">
      <c r="A474" s="24" t="s">
        <v>40</v>
      </c>
      <c r="B474" s="212" t="s">
        <v>229</v>
      </c>
      <c r="C474" s="24" t="s">
        <v>40</v>
      </c>
      <c r="D474" s="364"/>
      <c r="E474" s="365"/>
      <c r="F474" s="365"/>
      <c r="G474" s="366"/>
      <c r="H474" s="25"/>
      <c r="I474" s="24" t="s">
        <v>40</v>
      </c>
    </row>
    <row r="475" spans="1:9" ht="23.25" customHeight="1">
      <c r="A475" s="26"/>
      <c r="B475" s="26"/>
      <c r="C475" s="27">
        <v>11291926.49</v>
      </c>
      <c r="D475" s="28" t="s">
        <v>99</v>
      </c>
      <c r="E475" s="29"/>
      <c r="F475" s="29"/>
      <c r="G475" s="30"/>
      <c r="H475" s="31"/>
      <c r="I475" s="205">
        <f>I460</f>
        <v>12421432.48</v>
      </c>
    </row>
    <row r="476" spans="1:9" ht="23.25" customHeight="1">
      <c r="A476" s="26"/>
      <c r="B476" s="26"/>
      <c r="C476" s="32"/>
      <c r="D476" s="33" t="s">
        <v>89</v>
      </c>
      <c r="E476" s="34"/>
      <c r="F476" s="34"/>
      <c r="G476" s="35"/>
      <c r="H476" s="37"/>
      <c r="I476" s="39"/>
    </row>
    <row r="477" spans="1:9" ht="23.25" customHeight="1">
      <c r="A477" s="36">
        <v>58000</v>
      </c>
      <c r="B477" s="36"/>
      <c r="C477" s="36">
        <f>11293.82+43012.69+6286.5</f>
        <v>60593.01</v>
      </c>
      <c r="D477" s="37" t="s">
        <v>41</v>
      </c>
      <c r="E477" s="34"/>
      <c r="F477" s="34"/>
      <c r="G477" s="35"/>
      <c r="H477" s="38">
        <v>411000</v>
      </c>
      <c r="I477" s="39">
        <f>705+5581.5</f>
        <v>6286.5</v>
      </c>
    </row>
    <row r="478" spans="1:9" ht="23.25" customHeight="1">
      <c r="A478" s="36">
        <v>26000</v>
      </c>
      <c r="B478" s="36"/>
      <c r="C478" s="36">
        <f>1636.4+2740+6047.6+500+1326.6+50</f>
        <v>12300.6</v>
      </c>
      <c r="D478" s="37" t="s">
        <v>90</v>
      </c>
      <c r="E478" s="34"/>
      <c r="F478" s="34"/>
      <c r="G478" s="35"/>
      <c r="H478" s="38">
        <v>412000</v>
      </c>
      <c r="I478" s="36">
        <f>50</f>
        <v>50</v>
      </c>
    </row>
    <row r="479" spans="1:9" ht="23.25" customHeight="1">
      <c r="A479" s="36">
        <v>70000</v>
      </c>
      <c r="B479" s="36"/>
      <c r="C479" s="36">
        <v>0</v>
      </c>
      <c r="D479" s="37" t="s">
        <v>42</v>
      </c>
      <c r="E479" s="34"/>
      <c r="F479" s="34"/>
      <c r="G479" s="35"/>
      <c r="H479" s="38">
        <v>413000</v>
      </c>
      <c r="I479" s="36"/>
    </row>
    <row r="480" spans="1:9" ht="23.25" customHeight="1">
      <c r="A480" s="36">
        <v>41000</v>
      </c>
      <c r="B480" s="36"/>
      <c r="C480" s="36">
        <f>819.4+12550+100</f>
        <v>13469.4</v>
      </c>
      <c r="D480" s="37" t="s">
        <v>43</v>
      </c>
      <c r="E480" s="34"/>
      <c r="F480" s="34"/>
      <c r="G480" s="35"/>
      <c r="H480" s="38">
        <v>415000</v>
      </c>
      <c r="I480" s="39">
        <f>100</f>
        <v>100</v>
      </c>
    </row>
    <row r="481" spans="1:9" ht="23.25" customHeight="1">
      <c r="A481" s="36">
        <v>13150500</v>
      </c>
      <c r="B481" s="36"/>
      <c r="C481" s="36">
        <f>788344.77+1330617.03+1065104.85+446671.74+1157541.33+1874565.16</f>
        <v>6662844.88</v>
      </c>
      <c r="D481" s="37" t="s">
        <v>44</v>
      </c>
      <c r="E481" s="34"/>
      <c r="F481" s="34"/>
      <c r="G481" s="35"/>
      <c r="H481" s="40">
        <v>420000</v>
      </c>
      <c r="I481" s="39">
        <f>96742.29+1461389.9+75697.93+63302.53+149061.58+23544+4826.93</f>
        <v>1874565.16</v>
      </c>
    </row>
    <row r="482" spans="1:9" ht="23.25" customHeight="1">
      <c r="A482" s="36">
        <v>14304500</v>
      </c>
      <c r="B482" s="36"/>
      <c r="C482" s="36">
        <f>3261953+3161934</f>
        <v>6423887</v>
      </c>
      <c r="D482" s="37" t="s">
        <v>101</v>
      </c>
      <c r="E482" s="34"/>
      <c r="F482" s="34"/>
      <c r="G482" s="35"/>
      <c r="H482" s="40">
        <v>430000</v>
      </c>
      <c r="I482" s="39"/>
    </row>
    <row r="483" spans="1:9" ht="23.25" customHeight="1" thickBot="1">
      <c r="A483" s="41">
        <f>SUM(A477:A482)</f>
        <v>27650000</v>
      </c>
      <c r="B483" s="41"/>
      <c r="C483" s="42">
        <f>SUM(C477:C482)</f>
        <v>13173094.89</v>
      </c>
      <c r="D483" s="37"/>
      <c r="E483" s="34"/>
      <c r="F483" s="34"/>
      <c r="G483" s="35"/>
      <c r="H483" s="40"/>
      <c r="I483" s="41">
        <f>SUM(I477:I482)</f>
        <v>1881001.66</v>
      </c>
    </row>
    <row r="484" spans="1:9" ht="23.25" customHeight="1" thickTop="1">
      <c r="A484" s="36"/>
      <c r="B484" s="36"/>
      <c r="C484" s="36">
        <v>2566</v>
      </c>
      <c r="D484" s="37" t="s">
        <v>231</v>
      </c>
      <c r="E484" s="34"/>
      <c r="F484" s="34"/>
      <c r="G484" s="35"/>
      <c r="H484" s="40">
        <v>110605</v>
      </c>
      <c r="I484" s="36"/>
    </row>
    <row r="485" spans="1:9" ht="23.25" customHeight="1">
      <c r="A485" s="36"/>
      <c r="B485" s="36"/>
      <c r="C485" s="36">
        <f>440600+564400+422000+423200+672100</f>
        <v>2522300</v>
      </c>
      <c r="D485" s="37" t="s">
        <v>103</v>
      </c>
      <c r="E485" s="34"/>
      <c r="F485" s="34"/>
      <c r="G485" s="35"/>
      <c r="H485" s="40"/>
      <c r="I485" s="36">
        <f>687100-15000</f>
        <v>672100</v>
      </c>
    </row>
    <row r="486" spans="1:9" ht="23.25" customHeight="1">
      <c r="A486" s="26"/>
      <c r="B486" s="26"/>
      <c r="C486" s="43">
        <f>5599.5+4923.02+13007.36+2976.64+3515.79+8965.37</f>
        <v>38987.68</v>
      </c>
      <c r="D486" s="44" t="s">
        <v>232</v>
      </c>
      <c r="E486" s="45"/>
      <c r="F486" s="34"/>
      <c r="G486" s="35"/>
      <c r="H486" s="40"/>
      <c r="I486" s="46">
        <v>8965.37</v>
      </c>
    </row>
    <row r="487" spans="1:9" ht="23.25" customHeight="1">
      <c r="A487" s="26"/>
      <c r="B487" s="26"/>
      <c r="C487" s="43">
        <f>429650</f>
        <v>429650</v>
      </c>
      <c r="D487" s="44" t="s">
        <v>233</v>
      </c>
      <c r="E487" s="45"/>
      <c r="F487" s="34"/>
      <c r="G487" s="47"/>
      <c r="H487" s="40"/>
      <c r="I487" s="48"/>
    </row>
    <row r="488" spans="1:9" ht="23.25" customHeight="1">
      <c r="A488" s="26"/>
      <c r="B488" s="26"/>
      <c r="C488" s="43">
        <f>7213+6713+7283+7283+7283+7283</f>
        <v>43058</v>
      </c>
      <c r="D488" s="44" t="s">
        <v>234</v>
      </c>
      <c r="E488" s="45"/>
      <c r="F488" s="34"/>
      <c r="G488" s="35"/>
      <c r="H488" s="49"/>
      <c r="I488" s="48">
        <v>7283</v>
      </c>
    </row>
    <row r="489" spans="1:9" ht="23.25" customHeight="1">
      <c r="A489" s="26"/>
      <c r="B489" s="26"/>
      <c r="C489" s="43">
        <f>639.93+1274.06+356.5</f>
        <v>2270.49</v>
      </c>
      <c r="D489" s="82" t="s">
        <v>407</v>
      </c>
      <c r="E489" s="45"/>
      <c r="F489" s="34"/>
      <c r="G489" s="35"/>
      <c r="H489" s="49"/>
      <c r="I489" s="48">
        <v>356.5</v>
      </c>
    </row>
    <row r="490" spans="1:9" ht="23.25" customHeight="1">
      <c r="A490" s="26"/>
      <c r="B490" s="26"/>
      <c r="C490" s="43">
        <v>100000</v>
      </c>
      <c r="D490" s="44" t="s">
        <v>235</v>
      </c>
      <c r="E490" s="45"/>
      <c r="F490" s="34"/>
      <c r="G490" s="35"/>
      <c r="H490" s="40"/>
      <c r="I490" s="48"/>
    </row>
    <row r="491" spans="1:9" ht="23.25" customHeight="1">
      <c r="A491" s="26"/>
      <c r="B491" s="26"/>
      <c r="C491" s="43">
        <f>24450+13875+8450+11600</f>
        <v>58375</v>
      </c>
      <c r="D491" s="44" t="s">
        <v>236</v>
      </c>
      <c r="E491" s="45"/>
      <c r="F491" s="34"/>
      <c r="G491" s="35"/>
      <c r="H491" s="40"/>
      <c r="I491" s="48">
        <v>11600</v>
      </c>
    </row>
    <row r="492" spans="1:9" ht="23.25" customHeight="1">
      <c r="A492" s="26"/>
      <c r="B492" s="26"/>
      <c r="C492" s="43">
        <f>29388+51250+29187+29374+36674+35572</f>
        <v>211445</v>
      </c>
      <c r="D492" s="44" t="s">
        <v>239</v>
      </c>
      <c r="E492" s="45"/>
      <c r="F492" s="34"/>
      <c r="G492" s="35"/>
      <c r="H492" s="40"/>
      <c r="I492" s="48">
        <v>35572</v>
      </c>
    </row>
    <row r="493" spans="1:9" ht="23.25" customHeight="1">
      <c r="A493" s="26"/>
      <c r="B493" s="26"/>
      <c r="C493" s="43">
        <f>63100+63100+63100+57400+46000+43000</f>
        <v>335700</v>
      </c>
      <c r="D493" s="44" t="s">
        <v>240</v>
      </c>
      <c r="E493" s="45"/>
      <c r="F493" s="34"/>
      <c r="G493" s="34"/>
      <c r="H493" s="40"/>
      <c r="I493" s="47">
        <v>43000</v>
      </c>
    </row>
    <row r="494" spans="1:9" ht="23.25" customHeight="1">
      <c r="A494" s="26"/>
      <c r="B494" s="26"/>
      <c r="C494" s="43">
        <f>81086+54466+78186+74435+74435+67877</f>
        <v>430485</v>
      </c>
      <c r="D494" s="44" t="s">
        <v>241</v>
      </c>
      <c r="E494" s="45"/>
      <c r="F494" s="34"/>
      <c r="G494" s="34"/>
      <c r="H494" s="40"/>
      <c r="I494" s="47">
        <v>67877</v>
      </c>
    </row>
    <row r="495" spans="1:9" ht="23.25" customHeight="1">
      <c r="A495" s="26"/>
      <c r="B495" s="26"/>
      <c r="C495" s="43">
        <f>22027+22027+27315+27212+27351+25651</f>
        <v>151583</v>
      </c>
      <c r="D495" s="44" t="s">
        <v>242</v>
      </c>
      <c r="E495" s="45"/>
      <c r="F495" s="34"/>
      <c r="G495" s="34"/>
      <c r="H495" s="40"/>
      <c r="I495" s="47">
        <v>25651</v>
      </c>
    </row>
    <row r="496" spans="1:9" ht="23.25" customHeight="1">
      <c r="A496" s="26"/>
      <c r="B496" s="26"/>
      <c r="C496" s="43">
        <v>7.1</v>
      </c>
      <c r="D496" s="44" t="s">
        <v>38</v>
      </c>
      <c r="E496" s="45"/>
      <c r="F496" s="34"/>
      <c r="G496" s="34"/>
      <c r="H496" s="40"/>
      <c r="I496" s="47"/>
    </row>
    <row r="497" spans="1:9" ht="23.25" customHeight="1">
      <c r="A497" s="26"/>
      <c r="B497" s="26"/>
      <c r="C497" s="43"/>
      <c r="D497" s="44"/>
      <c r="E497" s="45"/>
      <c r="F497" s="34"/>
      <c r="G497" s="34"/>
      <c r="H497" s="40"/>
      <c r="I497" s="47"/>
    </row>
    <row r="498" spans="1:9" ht="23.25" customHeight="1" thickBot="1">
      <c r="A498" s="26"/>
      <c r="B498" s="26"/>
      <c r="C498" s="52">
        <f>SUM(C484:C497)</f>
        <v>4326427.27</v>
      </c>
      <c r="D498" s="37"/>
      <c r="E498" s="34"/>
      <c r="F498" s="34"/>
      <c r="G498" s="34"/>
      <c r="H498" s="35"/>
      <c r="I498" s="54">
        <f>SUM(I484:I496)</f>
        <v>872404.87</v>
      </c>
    </row>
    <row r="499" spans="1:9" ht="23.25" customHeight="1" thickBot="1">
      <c r="A499" s="55">
        <f>SUM(A483)</f>
        <v>27650000</v>
      </c>
      <c r="B499" s="211"/>
      <c r="C499" s="41">
        <f>SUM(C483+C498)</f>
        <v>17499522.16</v>
      </c>
      <c r="D499" s="37"/>
      <c r="E499" s="34"/>
      <c r="F499" s="56" t="s">
        <v>106</v>
      </c>
      <c r="G499" s="34"/>
      <c r="H499" s="35"/>
      <c r="I499" s="41">
        <f>SUM(I483+I498)</f>
        <v>2753406.53</v>
      </c>
    </row>
    <row r="500" spans="1:9" ht="23.25" customHeight="1">
      <c r="A500" s="57"/>
      <c r="B500" s="57"/>
      <c r="C500" s="57"/>
      <c r="D500" s="34"/>
      <c r="E500" s="34"/>
      <c r="F500" s="56"/>
      <c r="G500" s="34"/>
      <c r="H500" s="34"/>
      <c r="I500" s="57"/>
    </row>
    <row r="501" spans="1:9" ht="23.25" customHeight="1">
      <c r="A501" s="57"/>
      <c r="B501" s="57"/>
      <c r="C501" s="57"/>
      <c r="D501" s="34"/>
      <c r="E501" s="34"/>
      <c r="F501" s="56"/>
      <c r="G501" s="34"/>
      <c r="H501" s="34"/>
      <c r="I501" s="57"/>
    </row>
    <row r="502" spans="1:9" ht="23.25" customHeight="1">
      <c r="A502" s="57"/>
      <c r="B502" s="57"/>
      <c r="C502" s="57"/>
      <c r="D502" s="34"/>
      <c r="E502" s="34"/>
      <c r="F502" s="56"/>
      <c r="G502" s="34"/>
      <c r="H502" s="34"/>
      <c r="I502" s="57"/>
    </row>
    <row r="503" spans="1:9" ht="23.25" customHeight="1">
      <c r="A503" s="57"/>
      <c r="B503" s="57"/>
      <c r="C503" s="57"/>
      <c r="D503" s="34"/>
      <c r="E503" s="34"/>
      <c r="F503" s="56"/>
      <c r="G503" s="34"/>
      <c r="H503" s="34"/>
      <c r="I503" s="57"/>
    </row>
    <row r="504" spans="1:9" ht="23.25" customHeight="1">
      <c r="A504" s="57"/>
      <c r="B504" s="57"/>
      <c r="C504" s="57"/>
      <c r="D504" s="34"/>
      <c r="E504" s="34"/>
      <c r="F504" s="56"/>
      <c r="G504" s="34"/>
      <c r="H504" s="34"/>
      <c r="I504" s="57"/>
    </row>
    <row r="505" spans="1:9" ht="23.25" customHeight="1">
      <c r="A505" s="57"/>
      <c r="B505" s="57"/>
      <c r="C505" s="57"/>
      <c r="D505" s="34"/>
      <c r="E505" s="34"/>
      <c r="F505" s="56"/>
      <c r="G505" s="34"/>
      <c r="H505" s="34"/>
      <c r="I505" s="57"/>
    </row>
    <row r="506" spans="1:9" ht="23.25" customHeight="1">
      <c r="A506" s="57"/>
      <c r="B506" s="57"/>
      <c r="C506" s="57"/>
      <c r="D506" s="34"/>
      <c r="E506" s="34"/>
      <c r="F506" s="56"/>
      <c r="G506" s="34"/>
      <c r="H506" s="34"/>
      <c r="I506" s="57"/>
    </row>
    <row r="507" spans="1:9" ht="23.25" customHeight="1">
      <c r="A507" s="57"/>
      <c r="B507" s="57"/>
      <c r="C507" s="57"/>
      <c r="D507" s="34"/>
      <c r="E507" s="34"/>
      <c r="F507" s="56"/>
      <c r="G507" s="34"/>
      <c r="H507" s="34"/>
      <c r="I507" s="57"/>
    </row>
    <row r="508" spans="1:9" ht="23.25" customHeight="1">
      <c r="A508" s="57"/>
      <c r="B508" s="57"/>
      <c r="C508" s="57"/>
      <c r="D508" s="34"/>
      <c r="E508" s="34"/>
      <c r="F508" s="56"/>
      <c r="G508" s="34"/>
      <c r="H508" s="34"/>
      <c r="I508" s="57"/>
    </row>
    <row r="509" spans="1:9" ht="23.25" customHeight="1">
      <c r="A509" s="57"/>
      <c r="B509" s="57"/>
      <c r="C509" s="57"/>
      <c r="D509" s="34"/>
      <c r="E509" s="34"/>
      <c r="F509" s="56"/>
      <c r="G509" s="34"/>
      <c r="H509" s="34"/>
      <c r="I509" s="57"/>
    </row>
    <row r="510" spans="1:9" ht="23.25" customHeight="1">
      <c r="A510" s="57"/>
      <c r="B510" s="57"/>
      <c r="C510" s="57"/>
      <c r="D510" s="34"/>
      <c r="E510" s="34"/>
      <c r="F510" s="56"/>
      <c r="G510" s="34"/>
      <c r="H510" s="34"/>
      <c r="I510" s="57"/>
    </row>
    <row r="511" spans="1:9" ht="23.25" customHeight="1">
      <c r="A511" s="57"/>
      <c r="B511" s="57"/>
      <c r="C511" s="57"/>
      <c r="D511" s="34"/>
      <c r="E511" s="34"/>
      <c r="F511" s="56"/>
      <c r="G511" s="34"/>
      <c r="H511" s="34"/>
      <c r="I511" s="57"/>
    </row>
    <row r="512" spans="1:9" ht="23.25" customHeight="1">
      <c r="A512" s="57"/>
      <c r="B512" s="57"/>
      <c r="C512" s="57"/>
      <c r="D512" s="34"/>
      <c r="E512" s="34"/>
      <c r="F512" s="56"/>
      <c r="G512" s="34"/>
      <c r="H512" s="34"/>
      <c r="I512" s="57"/>
    </row>
    <row r="513" spans="1:9" ht="23.25" customHeight="1">
      <c r="A513" s="57"/>
      <c r="B513" s="57"/>
      <c r="C513" s="57"/>
      <c r="D513" s="34"/>
      <c r="E513" s="34"/>
      <c r="F513" s="56"/>
      <c r="G513" s="34"/>
      <c r="H513" s="34"/>
      <c r="I513" s="57"/>
    </row>
    <row r="514" spans="1:9" ht="23.25" customHeight="1">
      <c r="A514" s="57"/>
      <c r="B514" s="57"/>
      <c r="C514" s="57"/>
      <c r="D514" s="34"/>
      <c r="E514" s="34"/>
      <c r="F514" s="56"/>
      <c r="G514" s="34"/>
      <c r="H514" s="34"/>
      <c r="I514" s="57"/>
    </row>
    <row r="515" spans="1:9" ht="23.25" customHeight="1">
      <c r="A515" s="57"/>
      <c r="B515" s="57"/>
      <c r="C515" s="57"/>
      <c r="D515" s="34"/>
      <c r="E515" s="34"/>
      <c r="F515" s="56"/>
      <c r="G515" s="34"/>
      <c r="H515" s="34"/>
      <c r="I515" s="57"/>
    </row>
    <row r="516" spans="1:9" ht="23.25" customHeight="1">
      <c r="A516" s="333">
        <v>2</v>
      </c>
      <c r="B516" s="333"/>
      <c r="C516" s="333"/>
      <c r="D516" s="333"/>
      <c r="E516" s="333"/>
      <c r="F516" s="333"/>
      <c r="G516" s="333"/>
      <c r="H516" s="333"/>
      <c r="I516" s="333"/>
    </row>
    <row r="517" spans="1:9" ht="23.25" customHeight="1">
      <c r="A517" s="350" t="s">
        <v>91</v>
      </c>
      <c r="B517" s="351"/>
      <c r="C517" s="352"/>
      <c r="D517" s="58"/>
      <c r="E517" s="58"/>
      <c r="F517" s="58"/>
      <c r="G517" s="58"/>
      <c r="H517" s="59" t="s">
        <v>86</v>
      </c>
      <c r="I517" s="60" t="s">
        <v>88</v>
      </c>
    </row>
    <row r="518" spans="1:9" ht="23.25" customHeight="1">
      <c r="A518" s="59" t="s">
        <v>39</v>
      </c>
      <c r="B518" s="59" t="s">
        <v>228</v>
      </c>
      <c r="C518" s="59" t="s">
        <v>85</v>
      </c>
      <c r="D518" s="353" t="s">
        <v>78</v>
      </c>
      <c r="E518" s="353"/>
      <c r="F518" s="353"/>
      <c r="G518" s="353"/>
      <c r="H518" s="62" t="s">
        <v>87</v>
      </c>
      <c r="I518" s="59" t="s">
        <v>85</v>
      </c>
    </row>
    <row r="519" spans="1:9" ht="23.25" customHeight="1">
      <c r="A519" s="64" t="s">
        <v>40</v>
      </c>
      <c r="B519" s="216" t="s">
        <v>229</v>
      </c>
      <c r="C519" s="64" t="s">
        <v>40</v>
      </c>
      <c r="D519" s="65"/>
      <c r="E519" s="65"/>
      <c r="F519" s="65"/>
      <c r="G519" s="65"/>
      <c r="H519" s="66"/>
      <c r="I519" s="64" t="s">
        <v>40</v>
      </c>
    </row>
    <row r="520" spans="1:9" ht="23.25" customHeight="1">
      <c r="A520" s="68"/>
      <c r="B520" s="68"/>
      <c r="C520" s="68"/>
      <c r="D520" s="69" t="s">
        <v>92</v>
      </c>
      <c r="E520" s="70"/>
      <c r="F520" s="70"/>
      <c r="G520" s="70"/>
      <c r="H520" s="71"/>
      <c r="I520" s="72"/>
    </row>
    <row r="521" spans="1:9" ht="23.25" customHeight="1">
      <c r="A521" s="73">
        <v>6761806</v>
      </c>
      <c r="B521" s="73"/>
      <c r="C521" s="73">
        <f>572455+479826+930683+589283+440683+440683</f>
        <v>3453613</v>
      </c>
      <c r="D521" s="70" t="s">
        <v>45</v>
      </c>
      <c r="F521" s="70"/>
      <c r="G521" s="70"/>
      <c r="H521" s="74">
        <v>510000</v>
      </c>
      <c r="I521" s="73">
        <f>18483+355800+66400</f>
        <v>440683</v>
      </c>
    </row>
    <row r="522" spans="1:9" ht="23.25" customHeight="1">
      <c r="A522" s="73">
        <v>2484720</v>
      </c>
      <c r="B522" s="73"/>
      <c r="C522" s="73">
        <f>I522+207060+207060+207060+207060+207060</f>
        <v>1242360</v>
      </c>
      <c r="D522" s="70" t="s">
        <v>135</v>
      </c>
      <c r="F522" s="70"/>
      <c r="G522" s="70"/>
      <c r="H522" s="74">
        <v>521000</v>
      </c>
      <c r="I522" s="75">
        <v>207060</v>
      </c>
    </row>
    <row r="523" spans="1:9" ht="23.25" customHeight="1">
      <c r="A523" s="73">
        <f>5864260-162420</f>
        <v>5701840</v>
      </c>
      <c r="B523" s="73"/>
      <c r="C523" s="73">
        <f>340780+340780+340780+341490+341040+341040</f>
        <v>2045910</v>
      </c>
      <c r="D523" s="70" t="s">
        <v>107</v>
      </c>
      <c r="F523" s="70"/>
      <c r="G523" s="70"/>
      <c r="H523" s="74">
        <v>522000</v>
      </c>
      <c r="I523" s="75">
        <v>341040</v>
      </c>
    </row>
    <row r="524" spans="1:9" ht="23.25" customHeight="1">
      <c r="A524" s="73">
        <v>162420</v>
      </c>
      <c r="B524" s="73"/>
      <c r="C524" s="73">
        <f>13310+13310+13310+13310+13310+13310</f>
        <v>79860</v>
      </c>
      <c r="D524" s="70" t="s">
        <v>93</v>
      </c>
      <c r="F524" s="70"/>
      <c r="G524" s="70"/>
      <c r="H524" s="74">
        <v>522000</v>
      </c>
      <c r="I524" s="75">
        <v>13310</v>
      </c>
    </row>
    <row r="525" spans="1:9" ht="23.25" customHeight="1">
      <c r="A525" s="73">
        <v>1938624</v>
      </c>
      <c r="B525" s="73"/>
      <c r="C525" s="73">
        <f>147075+137075+148475+148475+148475+148475</f>
        <v>878050</v>
      </c>
      <c r="D525" s="70" t="s">
        <v>33</v>
      </c>
      <c r="F525" s="70"/>
      <c r="G525" s="70"/>
      <c r="H525" s="74">
        <v>522000</v>
      </c>
      <c r="I525" s="75">
        <v>148475</v>
      </c>
    </row>
    <row r="526" spans="1:9" ht="23.25" customHeight="1">
      <c r="A526" s="73">
        <v>895670</v>
      </c>
      <c r="B526" s="73"/>
      <c r="C526" s="73">
        <f>7400+15115+20000+9930+13000+20600</f>
        <v>86045</v>
      </c>
      <c r="D526" s="70" t="s">
        <v>80</v>
      </c>
      <c r="F526" s="70"/>
      <c r="G526" s="70"/>
      <c r="H526" s="74">
        <v>531000</v>
      </c>
      <c r="I526" s="75">
        <v>20600</v>
      </c>
    </row>
    <row r="527" spans="1:9" ht="23.25" customHeight="1">
      <c r="A527" s="73">
        <v>4175470</v>
      </c>
      <c r="B527" s="73"/>
      <c r="C527" s="73">
        <f>112050+193659.29-0.9+428958.85+220010+228739.5+532105</f>
        <v>1715521.74</v>
      </c>
      <c r="D527" s="70" t="s">
        <v>81</v>
      </c>
      <c r="F527" s="70"/>
      <c r="G527" s="70"/>
      <c r="H527" s="76">
        <v>532000</v>
      </c>
      <c r="I527" s="75">
        <v>532105</v>
      </c>
    </row>
    <row r="528" spans="1:9" ht="23.25" customHeight="1">
      <c r="A528" s="77">
        <v>1880550</v>
      </c>
      <c r="B528" s="77"/>
      <c r="C528" s="73">
        <f>90550+156574+221628.39+31381+149257</f>
        <v>649390.39</v>
      </c>
      <c r="D528" s="70" t="s">
        <v>83</v>
      </c>
      <c r="F528" s="70"/>
      <c r="G528" s="70"/>
      <c r="H528" s="76">
        <v>533000</v>
      </c>
      <c r="I528" s="75">
        <v>149257</v>
      </c>
    </row>
    <row r="529" spans="1:9" ht="23.25" customHeight="1">
      <c r="A529" s="77">
        <v>216000</v>
      </c>
      <c r="B529" s="77"/>
      <c r="C529" s="73">
        <f>3992.17+10529.38+15448.29+22732.73+7784.88+23091.81</f>
        <v>83579.26</v>
      </c>
      <c r="D529" s="70" t="s">
        <v>34</v>
      </c>
      <c r="F529" s="70"/>
      <c r="G529" s="70"/>
      <c r="H529" s="76">
        <v>534000</v>
      </c>
      <c r="I529" s="75">
        <v>23091.81</v>
      </c>
    </row>
    <row r="530" spans="1:9" ht="23.25" customHeight="1">
      <c r="A530" s="77">
        <v>301900</v>
      </c>
      <c r="B530" s="77"/>
      <c r="C530" s="73">
        <f>72600+27000</f>
        <v>99600</v>
      </c>
      <c r="D530" s="70" t="s">
        <v>36</v>
      </c>
      <c r="F530" s="70"/>
      <c r="G530" s="70"/>
      <c r="H530" s="76">
        <v>541000</v>
      </c>
      <c r="I530" s="75">
        <v>27000</v>
      </c>
    </row>
    <row r="531" spans="1:9" ht="23.25" customHeight="1">
      <c r="A531" s="77">
        <v>2041000</v>
      </c>
      <c r="B531" s="77"/>
      <c r="C531" s="73">
        <f>I531</f>
        <v>0</v>
      </c>
      <c r="D531" s="70" t="s">
        <v>37</v>
      </c>
      <c r="F531" s="70"/>
      <c r="G531" s="70"/>
      <c r="H531" s="76">
        <v>542000</v>
      </c>
      <c r="I531" s="75">
        <v>0</v>
      </c>
    </row>
    <row r="532" spans="1:9" ht="23.25" customHeight="1">
      <c r="A532" s="77">
        <v>1090000</v>
      </c>
      <c r="B532" s="77"/>
      <c r="C532" s="73">
        <f>253000+20000+330522.47+28000</f>
        <v>631522.47</v>
      </c>
      <c r="D532" s="70" t="s">
        <v>35</v>
      </c>
      <c r="F532" s="70"/>
      <c r="G532" s="70"/>
      <c r="H532" s="76">
        <v>560000</v>
      </c>
      <c r="I532" s="73">
        <v>28000</v>
      </c>
    </row>
    <row r="533" spans="1:9" ht="23.25" customHeight="1">
      <c r="A533" s="77"/>
      <c r="B533" s="77"/>
      <c r="C533" s="73">
        <f>I533</f>
        <v>0</v>
      </c>
      <c r="D533" s="70" t="s">
        <v>122</v>
      </c>
      <c r="F533" s="70"/>
      <c r="G533" s="70"/>
      <c r="H533" s="76">
        <v>550000</v>
      </c>
      <c r="I533" s="73">
        <v>0</v>
      </c>
    </row>
    <row r="534" spans="1:9" ht="23.25" customHeight="1" thickBot="1">
      <c r="A534" s="78">
        <f>SUM(A520:A533)</f>
        <v>27650000</v>
      </c>
      <c r="B534" s="78"/>
      <c r="C534" s="90">
        <f>SUM(C521:C533)</f>
        <v>10965451.860000001</v>
      </c>
      <c r="D534" s="70"/>
      <c r="E534" s="70"/>
      <c r="F534" s="70"/>
      <c r="G534" s="70"/>
      <c r="H534" s="76"/>
      <c r="I534" s="90">
        <f>SUM(I520:I533)</f>
        <v>1930621.81</v>
      </c>
    </row>
    <row r="535" spans="1:9" ht="23.25" customHeight="1" thickTop="1">
      <c r="A535" s="80"/>
      <c r="B535" s="80"/>
      <c r="C535" s="73">
        <v>2566</v>
      </c>
      <c r="D535" s="70" t="s">
        <v>201</v>
      </c>
      <c r="E535" s="70"/>
      <c r="F535" s="70"/>
      <c r="G535" s="70"/>
      <c r="H535" s="76"/>
      <c r="I535" s="73"/>
    </row>
    <row r="536" spans="1:9" ht="23.25" customHeight="1">
      <c r="A536" s="80"/>
      <c r="B536" s="80"/>
      <c r="C536" s="73">
        <f>440600+564400+422000+429300+666000</f>
        <v>2522300</v>
      </c>
      <c r="D536" s="70" t="s">
        <v>103</v>
      </c>
      <c r="E536" s="70"/>
      <c r="F536" s="70"/>
      <c r="G536" s="70"/>
      <c r="H536" s="76"/>
      <c r="I536" s="73">
        <v>666000</v>
      </c>
    </row>
    <row r="537" spans="1:11" ht="23.25" customHeight="1">
      <c r="A537" s="83"/>
      <c r="B537" s="83"/>
      <c r="C537" s="73">
        <f>475000+253800+392500+17238.5+382500</f>
        <v>1521038.5</v>
      </c>
      <c r="D537" s="82" t="s">
        <v>18</v>
      </c>
      <c r="E537" s="34"/>
      <c r="F537" s="70"/>
      <c r="G537" s="70"/>
      <c r="H537" s="74"/>
      <c r="I537" s="73">
        <v>382500</v>
      </c>
      <c r="K537" s="51"/>
    </row>
    <row r="538" spans="1:9" ht="23.25" customHeight="1">
      <c r="A538" s="83"/>
      <c r="B538" s="83"/>
      <c r="C538" s="73">
        <f>166200+263450</f>
        <v>429650</v>
      </c>
      <c r="D538" s="82" t="s">
        <v>389</v>
      </c>
      <c r="E538" s="34"/>
      <c r="F538" s="70"/>
      <c r="G538" s="70"/>
      <c r="H538" s="74"/>
      <c r="I538" s="73">
        <v>0</v>
      </c>
    </row>
    <row r="539" spans="1:9" ht="23.25" customHeight="1">
      <c r="A539" s="81"/>
      <c r="B539" s="81"/>
      <c r="C539" s="73">
        <f>6988.19+5599.5+4923.02+13007.36+2976.64+3515.79</f>
        <v>37010.5</v>
      </c>
      <c r="D539" s="82" t="s">
        <v>232</v>
      </c>
      <c r="E539" s="34"/>
      <c r="F539" s="70"/>
      <c r="G539" s="70"/>
      <c r="H539" s="74"/>
      <c r="I539" s="73">
        <v>3515.79</v>
      </c>
    </row>
    <row r="540" spans="1:9" ht="23.25" customHeight="1">
      <c r="A540" s="81"/>
      <c r="B540" s="81"/>
      <c r="C540" s="73">
        <v>2842.38</v>
      </c>
      <c r="D540" s="82" t="s">
        <v>407</v>
      </c>
      <c r="E540" s="34"/>
      <c r="F540" s="70"/>
      <c r="G540" s="70"/>
      <c r="H540" s="74"/>
      <c r="I540" s="73">
        <v>0</v>
      </c>
    </row>
    <row r="541" spans="1:9" ht="23.25" customHeight="1">
      <c r="A541" s="81"/>
      <c r="B541" s="81"/>
      <c r="C541" s="73">
        <f>16050+9450</f>
        <v>25500</v>
      </c>
      <c r="D541" s="34" t="s">
        <v>237</v>
      </c>
      <c r="F541" s="70"/>
      <c r="G541" s="70"/>
      <c r="H541" s="76">
        <v>300000</v>
      </c>
      <c r="I541" s="73">
        <v>0</v>
      </c>
    </row>
    <row r="542" spans="1:9" ht="23.25" customHeight="1">
      <c r="A542" s="81"/>
      <c r="B542" s="81"/>
      <c r="C542" s="73">
        <f>13926+7283+7283+7283+7283</f>
        <v>43058</v>
      </c>
      <c r="D542" s="82" t="s">
        <v>238</v>
      </c>
      <c r="E542" s="45"/>
      <c r="F542" s="70"/>
      <c r="G542" s="70"/>
      <c r="H542" s="74">
        <v>230000</v>
      </c>
      <c r="I542" s="73">
        <v>7283</v>
      </c>
    </row>
    <row r="543" spans="1:9" ht="23.25" customHeight="1">
      <c r="A543" s="81"/>
      <c r="B543" s="81"/>
      <c r="C543" s="73">
        <v>100000</v>
      </c>
      <c r="D543" s="82" t="s">
        <v>77</v>
      </c>
      <c r="E543" s="45"/>
      <c r="F543" s="70"/>
      <c r="G543" s="70"/>
      <c r="H543" s="74">
        <v>110605</v>
      </c>
      <c r="I543" s="73"/>
    </row>
    <row r="544" spans="1:9" ht="23.25" customHeight="1">
      <c r="A544" s="81"/>
      <c r="B544" s="81"/>
      <c r="C544" s="77">
        <f>29388+51250+29187+29374+36674+35572</f>
        <v>211445</v>
      </c>
      <c r="D544" s="213" t="s">
        <v>239</v>
      </c>
      <c r="E544" s="45"/>
      <c r="F544" s="34"/>
      <c r="G544" s="34"/>
      <c r="H544" s="214"/>
      <c r="I544" s="47">
        <v>35572</v>
      </c>
    </row>
    <row r="545" spans="1:9" ht="23.25" customHeight="1">
      <c r="A545" s="81"/>
      <c r="B545" s="81"/>
      <c r="C545" s="77">
        <f>63100+63100+63100+57400+46000+43000</f>
        <v>335700</v>
      </c>
      <c r="D545" s="213" t="s">
        <v>240</v>
      </c>
      <c r="E545" s="45"/>
      <c r="F545" s="34"/>
      <c r="G545" s="34"/>
      <c r="H545" s="214"/>
      <c r="I545" s="47">
        <v>43000</v>
      </c>
    </row>
    <row r="546" spans="1:9" ht="23.25" customHeight="1">
      <c r="A546" s="81"/>
      <c r="B546" s="81"/>
      <c r="C546" s="77">
        <f>81086+54466+78186+74435+74435+67877</f>
        <v>430485</v>
      </c>
      <c r="D546" s="213" t="s">
        <v>241</v>
      </c>
      <c r="E546" s="45"/>
      <c r="F546" s="34"/>
      <c r="G546" s="34"/>
      <c r="H546" s="214"/>
      <c r="I546" s="47">
        <v>67877</v>
      </c>
    </row>
    <row r="547" spans="1:9" ht="23.25" customHeight="1">
      <c r="A547" s="81"/>
      <c r="B547" s="81"/>
      <c r="C547" s="77">
        <f>22027+22027+27315+27212+27351+25651</f>
        <v>151583</v>
      </c>
      <c r="D547" s="213" t="s">
        <v>242</v>
      </c>
      <c r="E547" s="45"/>
      <c r="F547" s="34"/>
      <c r="G547" s="34"/>
      <c r="H547" s="214"/>
      <c r="I547" s="47">
        <v>25651</v>
      </c>
    </row>
    <row r="548" spans="1:9" ht="23.25" customHeight="1">
      <c r="A548" s="81"/>
      <c r="B548" s="81"/>
      <c r="C548" s="73"/>
      <c r="D548" s="82"/>
      <c r="E548" s="45"/>
      <c r="F548" s="70"/>
      <c r="G548" s="70"/>
      <c r="H548" s="74"/>
      <c r="I548" s="73"/>
    </row>
    <row r="549" spans="1:9" ht="23.25" customHeight="1">
      <c r="A549" s="85"/>
      <c r="B549" s="85"/>
      <c r="C549" s="86">
        <f>SUM(C535:C548)</f>
        <v>5813178.38</v>
      </c>
      <c r="D549" s="82"/>
      <c r="E549" s="45"/>
      <c r="F549" s="70"/>
      <c r="G549" s="70"/>
      <c r="H549" s="87"/>
      <c r="I549" s="88">
        <f>SUM(I535:I548)</f>
        <v>1231398.79</v>
      </c>
    </row>
    <row r="550" spans="1:9" ht="23.25" customHeight="1" thickBot="1">
      <c r="A550" s="89">
        <f>SUM(A534)</f>
        <v>27650000</v>
      </c>
      <c r="B550" s="89"/>
      <c r="C550" s="90">
        <f>SUM(C534+C549)</f>
        <v>16778630.240000002</v>
      </c>
      <c r="D550" s="333" t="s">
        <v>94</v>
      </c>
      <c r="E550" s="333"/>
      <c r="F550" s="333"/>
      <c r="G550" s="333"/>
      <c r="H550" s="34"/>
      <c r="I550" s="90">
        <f>SUM(I534+I549)</f>
        <v>3162020.6</v>
      </c>
    </row>
    <row r="551" spans="1:9" ht="23.25" customHeight="1" thickTop="1">
      <c r="A551" s="70"/>
      <c r="B551" s="70"/>
      <c r="C551" s="68"/>
      <c r="D551" s="333" t="s">
        <v>95</v>
      </c>
      <c r="E551" s="333"/>
      <c r="F551" s="333"/>
      <c r="G551" s="333"/>
      <c r="H551" s="70"/>
      <c r="I551" s="91"/>
    </row>
    <row r="552" spans="1:9" ht="23.25" customHeight="1">
      <c r="A552" s="70"/>
      <c r="B552" s="70"/>
      <c r="C552" s="68"/>
      <c r="D552" s="333" t="s">
        <v>96</v>
      </c>
      <c r="E552" s="333"/>
      <c r="F552" s="333"/>
      <c r="G552" s="333"/>
      <c r="H552" s="70"/>
      <c r="I552" s="91"/>
    </row>
    <row r="553" spans="1:9" ht="23.25" customHeight="1">
      <c r="A553" s="69"/>
      <c r="B553" s="69"/>
      <c r="C553" s="92">
        <f>C499-C550</f>
        <v>720891.9199999981</v>
      </c>
      <c r="D553" s="348" t="s">
        <v>98</v>
      </c>
      <c r="E553" s="348"/>
      <c r="F553" s="348"/>
      <c r="G553" s="348"/>
      <c r="H553" s="69"/>
      <c r="I553" s="92">
        <f>I499-I550</f>
        <v>-408614.0700000003</v>
      </c>
    </row>
    <row r="554" spans="1:9" ht="23.25" customHeight="1">
      <c r="A554" s="69"/>
      <c r="B554" s="69"/>
      <c r="C554" s="95">
        <f>SUM(C475+C499-C550)</f>
        <v>12012818.409999996</v>
      </c>
      <c r="D554" s="348" t="s">
        <v>97</v>
      </c>
      <c r="E554" s="348"/>
      <c r="F554" s="348"/>
      <c r="G554" s="348"/>
      <c r="H554" s="69"/>
      <c r="I554" s="95">
        <f>SUM(I475+I499-I550)</f>
        <v>12012818.41</v>
      </c>
    </row>
    <row r="555" spans="1:9" ht="23.25" customHeight="1">
      <c r="A555" s="69"/>
      <c r="B555" s="69"/>
      <c r="C555" s="217"/>
      <c r="D555" s="206"/>
      <c r="E555" s="206"/>
      <c r="F555" s="206"/>
      <c r="G555" s="206"/>
      <c r="H555" s="69"/>
      <c r="I555" s="217"/>
    </row>
    <row r="556" spans="1:9" ht="23.25" customHeight="1">
      <c r="A556" s="70"/>
      <c r="B556" s="70"/>
      <c r="C556" s="70"/>
      <c r="D556" s="70"/>
      <c r="E556" s="70"/>
      <c r="F556" s="70"/>
      <c r="G556" s="70"/>
      <c r="H556" s="70"/>
      <c r="I556" s="70"/>
    </row>
    <row r="557" spans="1:9" ht="23.25" customHeight="1">
      <c r="A557" s="349" t="s">
        <v>262</v>
      </c>
      <c r="B557" s="349"/>
      <c r="C557" s="349"/>
      <c r="D557" s="349" t="s">
        <v>263</v>
      </c>
      <c r="E557" s="349"/>
      <c r="F557" s="349"/>
      <c r="G557" s="349" t="s">
        <v>5</v>
      </c>
      <c r="H557" s="349"/>
      <c r="I557" s="349"/>
    </row>
    <row r="558" spans="1:9" ht="23.25" customHeight="1">
      <c r="A558" s="349" t="s">
        <v>259</v>
      </c>
      <c r="B558" s="349"/>
      <c r="C558" s="349"/>
      <c r="D558" s="333" t="s">
        <v>126</v>
      </c>
      <c r="E558" s="333"/>
      <c r="F558" s="333"/>
      <c r="G558" s="333" t="s">
        <v>264</v>
      </c>
      <c r="H558" s="333"/>
      <c r="I558" s="333"/>
    </row>
    <row r="559" spans="1:9" ht="23.25" customHeight="1">
      <c r="A559" s="346" t="s">
        <v>260</v>
      </c>
      <c r="B559" s="346"/>
      <c r="C559" s="346"/>
      <c r="D559" s="347" t="s">
        <v>127</v>
      </c>
      <c r="E559" s="347"/>
      <c r="F559" s="347"/>
      <c r="G559" s="347" t="s">
        <v>265</v>
      </c>
      <c r="H559" s="347"/>
      <c r="I559" s="347"/>
    </row>
    <row r="560" spans="1:6" ht="23.25" customHeight="1">
      <c r="A560" s="346" t="s">
        <v>261</v>
      </c>
      <c r="B560" s="346"/>
      <c r="C560" s="346"/>
      <c r="D560" s="97"/>
      <c r="E560" s="97"/>
      <c r="F560" s="97"/>
    </row>
    <row r="561" spans="1:9" ht="23.25" customHeight="1">
      <c r="A561" s="97"/>
      <c r="B561" s="97"/>
      <c r="C561" s="97"/>
      <c r="D561" s="97"/>
      <c r="E561" s="97"/>
      <c r="F561" s="97"/>
      <c r="G561" s="97"/>
      <c r="H561" s="97"/>
      <c r="I561" s="97"/>
    </row>
    <row r="562" spans="1:9" ht="23.25" customHeight="1">
      <c r="A562" s="335" t="s">
        <v>132</v>
      </c>
      <c r="B562" s="335"/>
      <c r="C562" s="335"/>
      <c r="D562" s="335"/>
      <c r="E562" s="335"/>
      <c r="F562" s="335"/>
      <c r="G562" s="335"/>
      <c r="H562" s="335"/>
      <c r="I562" s="335"/>
    </row>
    <row r="563" spans="1:9" ht="23.25" customHeight="1">
      <c r="A563" s="348" t="s">
        <v>102</v>
      </c>
      <c r="B563" s="348"/>
      <c r="C563" s="348"/>
      <c r="D563" s="348"/>
      <c r="E563" s="348"/>
      <c r="F563" s="348"/>
      <c r="G563" s="348"/>
      <c r="H563" s="348"/>
      <c r="I563" s="348"/>
    </row>
    <row r="564" spans="1:9" ht="23.25" customHeight="1" thickBot="1">
      <c r="A564" s="206"/>
      <c r="B564" s="354" t="s">
        <v>427</v>
      </c>
      <c r="C564" s="354"/>
      <c r="D564" s="354"/>
      <c r="E564" s="354"/>
      <c r="F564" s="354"/>
      <c r="G564" s="354"/>
      <c r="H564" s="354"/>
      <c r="I564" s="206"/>
    </row>
    <row r="565" spans="1:9" ht="23.25" customHeight="1" thickBot="1">
      <c r="A565" s="355" t="s">
        <v>84</v>
      </c>
      <c r="B565" s="356"/>
      <c r="C565" s="357"/>
      <c r="D565" s="358" t="s">
        <v>78</v>
      </c>
      <c r="E565" s="359"/>
      <c r="F565" s="359"/>
      <c r="G565" s="360"/>
      <c r="H565" s="21" t="s">
        <v>86</v>
      </c>
      <c r="I565" s="22" t="s">
        <v>88</v>
      </c>
    </row>
    <row r="566" spans="1:9" ht="23.25" customHeight="1">
      <c r="A566" s="21" t="s">
        <v>39</v>
      </c>
      <c r="B566" s="21" t="s">
        <v>228</v>
      </c>
      <c r="C566" s="21" t="s">
        <v>85</v>
      </c>
      <c r="D566" s="361"/>
      <c r="E566" s="362"/>
      <c r="F566" s="362"/>
      <c r="G566" s="363"/>
      <c r="H566" s="23" t="s">
        <v>87</v>
      </c>
      <c r="I566" s="21" t="s">
        <v>85</v>
      </c>
    </row>
    <row r="567" spans="1:9" ht="23.25" customHeight="1" thickBot="1">
      <c r="A567" s="24" t="s">
        <v>40</v>
      </c>
      <c r="B567" s="212" t="s">
        <v>229</v>
      </c>
      <c r="C567" s="24" t="s">
        <v>40</v>
      </c>
      <c r="D567" s="364"/>
      <c r="E567" s="365"/>
      <c r="F567" s="365"/>
      <c r="G567" s="366"/>
      <c r="H567" s="25"/>
      <c r="I567" s="24" t="s">
        <v>40</v>
      </c>
    </row>
    <row r="568" spans="1:9" ht="23.25" customHeight="1">
      <c r="A568" s="26"/>
      <c r="B568" s="26"/>
      <c r="C568" s="27">
        <v>11291926.49</v>
      </c>
      <c r="D568" s="28" t="s">
        <v>99</v>
      </c>
      <c r="E568" s="29"/>
      <c r="F568" s="29"/>
      <c r="G568" s="30"/>
      <c r="H568" s="31"/>
      <c r="I568" s="205">
        <f>I554</f>
        <v>12012818.41</v>
      </c>
    </row>
    <row r="569" spans="1:9" ht="23.25" customHeight="1">
      <c r="A569" s="26"/>
      <c r="B569" s="26"/>
      <c r="C569" s="32"/>
      <c r="D569" s="33" t="s">
        <v>89</v>
      </c>
      <c r="E569" s="34"/>
      <c r="F569" s="34"/>
      <c r="G569" s="35"/>
      <c r="H569" s="37"/>
      <c r="I569" s="39"/>
    </row>
    <row r="570" spans="1:9" ht="23.25" customHeight="1">
      <c r="A570" s="36">
        <v>58000</v>
      </c>
      <c r="B570" s="36"/>
      <c r="C570" s="36">
        <f>11293.82+43012.69+6286.5+3896.84</f>
        <v>64489.850000000006</v>
      </c>
      <c r="D570" s="37" t="s">
        <v>41</v>
      </c>
      <c r="E570" s="34"/>
      <c r="F570" s="34"/>
      <c r="G570" s="35"/>
      <c r="H570" s="38">
        <v>411000</v>
      </c>
      <c r="I570" s="39">
        <v>3896.84</v>
      </c>
    </row>
    <row r="571" spans="1:9" ht="23.25" customHeight="1">
      <c r="A571" s="36">
        <v>26000</v>
      </c>
      <c r="B571" s="36"/>
      <c r="C571" s="36">
        <f>1636.4+2740+6047.6+500+1326.6+50+302</f>
        <v>12602.6</v>
      </c>
      <c r="D571" s="37" t="s">
        <v>90</v>
      </c>
      <c r="E571" s="34"/>
      <c r="F571" s="34"/>
      <c r="G571" s="35"/>
      <c r="H571" s="38">
        <v>412000</v>
      </c>
      <c r="I571" s="36">
        <v>302</v>
      </c>
    </row>
    <row r="572" spans="1:9" ht="23.25" customHeight="1">
      <c r="A572" s="36">
        <v>70000</v>
      </c>
      <c r="B572" s="36"/>
      <c r="C572" s="36">
        <v>23672.04</v>
      </c>
      <c r="D572" s="37" t="s">
        <v>42</v>
      </c>
      <c r="E572" s="34"/>
      <c r="F572" s="34"/>
      <c r="G572" s="35"/>
      <c r="H572" s="38">
        <v>413000</v>
      </c>
      <c r="I572" s="36">
        <v>23672.04</v>
      </c>
    </row>
    <row r="573" spans="1:9" ht="23.25" customHeight="1">
      <c r="A573" s="36">
        <v>41000</v>
      </c>
      <c r="B573" s="36"/>
      <c r="C573" s="36">
        <f>819.4+12550+100</f>
        <v>13469.4</v>
      </c>
      <c r="D573" s="37" t="s">
        <v>43</v>
      </c>
      <c r="E573" s="34"/>
      <c r="F573" s="34"/>
      <c r="G573" s="35"/>
      <c r="H573" s="38">
        <v>415000</v>
      </c>
      <c r="I573" s="39">
        <v>0</v>
      </c>
    </row>
    <row r="574" spans="1:9" ht="23.25" customHeight="1">
      <c r="A574" s="36">
        <v>13150500</v>
      </c>
      <c r="B574" s="36"/>
      <c r="C574" s="36">
        <f>788344.77+1330617.03+1065104.85+446671.74+1157541.33+1874565.16+452109.7</f>
        <v>7114954.58</v>
      </c>
      <c r="D574" s="37" t="s">
        <v>44</v>
      </c>
      <c r="E574" s="34"/>
      <c r="F574" s="34"/>
      <c r="G574" s="35"/>
      <c r="H574" s="40">
        <v>420000</v>
      </c>
      <c r="I574" s="39">
        <v>452109.7</v>
      </c>
    </row>
    <row r="575" spans="1:9" ht="23.25" customHeight="1">
      <c r="A575" s="36">
        <v>14304500</v>
      </c>
      <c r="B575" s="36"/>
      <c r="C575" s="36">
        <f>3261953+3161934+1819113</f>
        <v>8243000</v>
      </c>
      <c r="D575" s="37" t="s">
        <v>101</v>
      </c>
      <c r="E575" s="34"/>
      <c r="F575" s="34"/>
      <c r="G575" s="35"/>
      <c r="H575" s="40">
        <v>430000</v>
      </c>
      <c r="I575" s="39">
        <v>1819113</v>
      </c>
    </row>
    <row r="576" spans="1:9" ht="23.25" customHeight="1" thickBot="1">
      <c r="A576" s="41">
        <f>SUM(A570:A575)</f>
        <v>27650000</v>
      </c>
      <c r="B576" s="41"/>
      <c r="C576" s="42">
        <f>SUM(C570:C575)</f>
        <v>15472188.469999999</v>
      </c>
      <c r="D576" s="37"/>
      <c r="E576" s="34"/>
      <c r="F576" s="34"/>
      <c r="G576" s="35"/>
      <c r="H576" s="40"/>
      <c r="I576" s="41">
        <f>SUM(I570:I575)</f>
        <v>2299093.58</v>
      </c>
    </row>
    <row r="577" spans="1:9" ht="23.25" customHeight="1" thickTop="1">
      <c r="A577" s="36"/>
      <c r="B577" s="36"/>
      <c r="C577" s="36">
        <v>2566</v>
      </c>
      <c r="D577" s="37" t="s">
        <v>231</v>
      </c>
      <c r="E577" s="34"/>
      <c r="F577" s="34"/>
      <c r="G577" s="35"/>
      <c r="H577" s="40">
        <v>110605</v>
      </c>
      <c r="I577" s="36"/>
    </row>
    <row r="578" spans="1:9" ht="23.25" customHeight="1">
      <c r="A578" s="36"/>
      <c r="B578" s="36"/>
      <c r="C578" s="36">
        <f>440600+564400+422000+423200+672100+422400</f>
        <v>2944700</v>
      </c>
      <c r="D578" s="37" t="s">
        <v>103</v>
      </c>
      <c r="E578" s="34"/>
      <c r="F578" s="34"/>
      <c r="G578" s="35"/>
      <c r="H578" s="40"/>
      <c r="I578" s="36">
        <v>422400</v>
      </c>
    </row>
    <row r="579" spans="1:9" ht="23.25" customHeight="1">
      <c r="A579" s="26"/>
      <c r="B579" s="26"/>
      <c r="C579" s="43">
        <f>5599.5+4923.02+13007.36+2976.64+3515.79+8965.37+4612.69</f>
        <v>43600.37</v>
      </c>
      <c r="D579" s="44" t="s">
        <v>232</v>
      </c>
      <c r="E579" s="45"/>
      <c r="F579" s="34"/>
      <c r="G579" s="35"/>
      <c r="H579" s="40"/>
      <c r="I579" s="46">
        <v>4612.69</v>
      </c>
    </row>
    <row r="580" spans="1:9" ht="23.25" customHeight="1">
      <c r="A580" s="26"/>
      <c r="B580" s="26"/>
      <c r="C580" s="43">
        <f>429650</f>
        <v>429650</v>
      </c>
      <c r="D580" s="44" t="s">
        <v>233</v>
      </c>
      <c r="E580" s="45"/>
      <c r="F580" s="34"/>
      <c r="G580" s="47"/>
      <c r="H580" s="40"/>
      <c r="I580" s="48"/>
    </row>
    <row r="581" spans="1:9" ht="23.25" customHeight="1">
      <c r="A581" s="26"/>
      <c r="B581" s="26"/>
      <c r="C581" s="43">
        <f>7213+6713+7283+7283+7283+7283+7283</f>
        <v>50341</v>
      </c>
      <c r="D581" s="44" t="s">
        <v>234</v>
      </c>
      <c r="E581" s="45"/>
      <c r="F581" s="34"/>
      <c r="G581" s="35"/>
      <c r="H581" s="49"/>
      <c r="I581" s="48">
        <v>7283</v>
      </c>
    </row>
    <row r="582" spans="1:9" ht="23.25" customHeight="1">
      <c r="A582" s="26"/>
      <c r="B582" s="26"/>
      <c r="C582" s="43">
        <f>639.93+1274.06+356.5+248.91</f>
        <v>2519.3999999999996</v>
      </c>
      <c r="D582" s="82" t="s">
        <v>407</v>
      </c>
      <c r="E582" s="45"/>
      <c r="F582" s="34"/>
      <c r="G582" s="35"/>
      <c r="H582" s="49"/>
      <c r="I582" s="48">
        <v>248.91</v>
      </c>
    </row>
    <row r="583" spans="1:9" ht="23.25" customHeight="1">
      <c r="A583" s="26"/>
      <c r="B583" s="26"/>
      <c r="C583" s="43">
        <v>4.07</v>
      </c>
      <c r="D583" s="13" t="s">
        <v>173</v>
      </c>
      <c r="E583" s="45"/>
      <c r="F583" s="34"/>
      <c r="G583" s="35"/>
      <c r="H583" s="49"/>
      <c r="I583" s="48">
        <v>4.07</v>
      </c>
    </row>
    <row r="584" spans="1:9" ht="23.25" customHeight="1">
      <c r="A584" s="26"/>
      <c r="B584" s="26"/>
      <c r="C584" s="43">
        <f>100000+468.43</f>
        <v>100468.43</v>
      </c>
      <c r="D584" s="44" t="s">
        <v>235</v>
      </c>
      <c r="E584" s="45"/>
      <c r="F584" s="34"/>
      <c r="G584" s="35"/>
      <c r="H584" s="40"/>
      <c r="I584" s="48">
        <v>468.43</v>
      </c>
    </row>
    <row r="585" spans="1:9" ht="23.25" customHeight="1">
      <c r="A585" s="26"/>
      <c r="B585" s="26"/>
      <c r="C585" s="43">
        <f>24450+13875+8450+11600</f>
        <v>58375</v>
      </c>
      <c r="D585" s="44" t="s">
        <v>236</v>
      </c>
      <c r="E585" s="45"/>
      <c r="F585" s="34"/>
      <c r="G585" s="35"/>
      <c r="H585" s="40"/>
      <c r="I585" s="48"/>
    </row>
    <row r="586" spans="1:9" ht="23.25" customHeight="1">
      <c r="A586" s="26"/>
      <c r="B586" s="26"/>
      <c r="C586" s="43">
        <f>29388+51250+29187+29374+36674+35572+31572</f>
        <v>243017</v>
      </c>
      <c r="D586" s="44" t="s">
        <v>239</v>
      </c>
      <c r="E586" s="45"/>
      <c r="F586" s="34"/>
      <c r="G586" s="35"/>
      <c r="H586" s="40"/>
      <c r="I586" s="48">
        <v>31572</v>
      </c>
    </row>
    <row r="587" spans="1:9" ht="23.25" customHeight="1">
      <c r="A587" s="26"/>
      <c r="B587" s="26"/>
      <c r="C587" s="43">
        <f>63100+63100+63100+57400+46000+43000+31700</f>
        <v>367400</v>
      </c>
      <c r="D587" s="44" t="s">
        <v>240</v>
      </c>
      <c r="E587" s="45"/>
      <c r="F587" s="34"/>
      <c r="G587" s="34"/>
      <c r="H587" s="40"/>
      <c r="I587" s="47">
        <v>31700</v>
      </c>
    </row>
    <row r="588" spans="1:9" ht="23.25" customHeight="1">
      <c r="A588" s="26"/>
      <c r="B588" s="26"/>
      <c r="C588" s="43">
        <f>81086+54466+78186+74435+74435+67877+64788</f>
        <v>495273</v>
      </c>
      <c r="D588" s="44" t="s">
        <v>241</v>
      </c>
      <c r="E588" s="45"/>
      <c r="F588" s="34"/>
      <c r="G588" s="34"/>
      <c r="H588" s="40"/>
      <c r="I588" s="47">
        <v>64788</v>
      </c>
    </row>
    <row r="589" spans="1:9" ht="23.25" customHeight="1">
      <c r="A589" s="26"/>
      <c r="B589" s="26"/>
      <c r="C589" s="43">
        <f>22027+22027+27315+27212+27351+25651+29045</f>
        <v>180628</v>
      </c>
      <c r="D589" s="44" t="s">
        <v>242</v>
      </c>
      <c r="E589" s="45"/>
      <c r="F589" s="34"/>
      <c r="G589" s="34"/>
      <c r="H589" s="40"/>
      <c r="I589" s="47">
        <v>29045</v>
      </c>
    </row>
    <row r="590" spans="1:9" ht="23.25" customHeight="1">
      <c r="A590" s="26"/>
      <c r="B590" s="26"/>
      <c r="C590" s="43">
        <v>50000</v>
      </c>
      <c r="D590" s="155" t="s">
        <v>428</v>
      </c>
      <c r="E590" s="45"/>
      <c r="F590" s="34"/>
      <c r="G590" s="34"/>
      <c r="H590" s="40"/>
      <c r="I590" s="47">
        <v>50000</v>
      </c>
    </row>
    <row r="591" spans="1:9" ht="23.25" customHeight="1">
      <c r="A591" s="26"/>
      <c r="B591" s="26"/>
      <c r="C591" s="43"/>
      <c r="D591" s="156" t="s">
        <v>429</v>
      </c>
      <c r="E591" s="45"/>
      <c r="F591" s="34"/>
      <c r="G591" s="34"/>
      <c r="H591" s="40"/>
      <c r="I591" s="47"/>
    </row>
    <row r="592" spans="1:9" ht="23.25" customHeight="1">
      <c r="A592" s="26"/>
      <c r="B592" s="26"/>
      <c r="C592" s="43">
        <v>7.1</v>
      </c>
      <c r="D592" s="44" t="s">
        <v>38</v>
      </c>
      <c r="E592" s="45"/>
      <c r="F592" s="34"/>
      <c r="G592" s="34"/>
      <c r="H592" s="40"/>
      <c r="I592" s="47"/>
    </row>
    <row r="593" spans="1:9" ht="23.25" customHeight="1">
      <c r="A593" s="26"/>
      <c r="B593" s="26"/>
      <c r="C593" s="43"/>
      <c r="D593" s="44"/>
      <c r="E593" s="45"/>
      <c r="F593" s="34"/>
      <c r="G593" s="34"/>
      <c r="H593" s="40"/>
      <c r="I593" s="47"/>
    </row>
    <row r="594" spans="1:9" ht="23.25" customHeight="1" thickBot="1">
      <c r="A594" s="26"/>
      <c r="B594" s="26"/>
      <c r="C594" s="52">
        <f>SUM(C577:C593)</f>
        <v>4968549.369999999</v>
      </c>
      <c r="D594" s="37"/>
      <c r="E594" s="34"/>
      <c r="F594" s="34"/>
      <c r="G594" s="34"/>
      <c r="H594" s="35"/>
      <c r="I594" s="54">
        <f>SUM(I577:I592)</f>
        <v>642122.1</v>
      </c>
    </row>
    <row r="595" spans="1:9" ht="23.25" customHeight="1" thickBot="1">
      <c r="A595" s="55">
        <f>SUM(A576)</f>
        <v>27650000</v>
      </c>
      <c r="B595" s="211"/>
      <c r="C595" s="41">
        <f>SUM(C576+C594)</f>
        <v>20440737.839999996</v>
      </c>
      <c r="D595" s="37"/>
      <c r="E595" s="34"/>
      <c r="F595" s="56" t="s">
        <v>106</v>
      </c>
      <c r="G595" s="34"/>
      <c r="H595" s="35"/>
      <c r="I595" s="41">
        <f>SUM(I576+I594)</f>
        <v>2941215.68</v>
      </c>
    </row>
    <row r="596" spans="1:9" ht="23.25" customHeight="1">
      <c r="A596" s="57"/>
      <c r="B596" s="57"/>
      <c r="C596" s="57"/>
      <c r="D596" s="34"/>
      <c r="E596" s="34"/>
      <c r="F596" s="56"/>
      <c r="G596" s="34"/>
      <c r="H596" s="34"/>
      <c r="I596" s="57"/>
    </row>
    <row r="597" spans="1:9" ht="23.25" customHeight="1">
      <c r="A597" s="57"/>
      <c r="B597" s="57"/>
      <c r="C597" s="57"/>
      <c r="D597" s="34"/>
      <c r="E597" s="34"/>
      <c r="F597" s="56"/>
      <c r="G597" s="34"/>
      <c r="H597" s="34"/>
      <c r="I597" s="57"/>
    </row>
    <row r="598" spans="1:9" ht="23.25" customHeight="1">
      <c r="A598" s="57"/>
      <c r="B598" s="57"/>
      <c r="C598" s="57"/>
      <c r="D598" s="34"/>
      <c r="E598" s="34"/>
      <c r="F598" s="56"/>
      <c r="G598" s="34"/>
      <c r="H598" s="34"/>
      <c r="I598" s="57"/>
    </row>
    <row r="599" spans="1:9" ht="23.25" customHeight="1">
      <c r="A599" s="57"/>
      <c r="B599" s="57"/>
      <c r="C599" s="57"/>
      <c r="D599" s="34"/>
      <c r="E599" s="34"/>
      <c r="F599" s="56"/>
      <c r="G599" s="34"/>
      <c r="H599" s="34"/>
      <c r="I599" s="57"/>
    </row>
    <row r="600" spans="1:9" ht="23.25" customHeight="1">
      <c r="A600" s="57"/>
      <c r="B600" s="57"/>
      <c r="C600" s="57"/>
      <c r="D600" s="34"/>
      <c r="E600" s="34"/>
      <c r="F600" s="56"/>
      <c r="G600" s="34"/>
      <c r="H600" s="34"/>
      <c r="I600" s="57"/>
    </row>
    <row r="601" spans="1:9" ht="23.25" customHeight="1">
      <c r="A601" s="57"/>
      <c r="B601" s="57"/>
      <c r="C601" s="57"/>
      <c r="D601" s="34"/>
      <c r="E601" s="34"/>
      <c r="F601" s="56"/>
      <c r="G601" s="34"/>
      <c r="H601" s="34"/>
      <c r="I601" s="57"/>
    </row>
    <row r="602" spans="1:9" ht="23.25" customHeight="1">
      <c r="A602" s="57"/>
      <c r="B602" s="57"/>
      <c r="C602" s="57"/>
      <c r="D602" s="34"/>
      <c r="E602" s="34"/>
      <c r="F602" s="56"/>
      <c r="G602" s="34"/>
      <c r="H602" s="34"/>
      <c r="I602" s="57"/>
    </row>
    <row r="603" spans="1:9" ht="23.25" customHeight="1">
      <c r="A603" s="57"/>
      <c r="B603" s="57"/>
      <c r="C603" s="57"/>
      <c r="D603" s="34"/>
      <c r="E603" s="34"/>
      <c r="F603" s="56"/>
      <c r="G603" s="34"/>
      <c r="H603" s="34"/>
      <c r="I603" s="57"/>
    </row>
    <row r="604" spans="1:9" ht="23.25" customHeight="1">
      <c r="A604" s="57"/>
      <c r="B604" s="57"/>
      <c r="C604" s="57"/>
      <c r="D604" s="34"/>
      <c r="E604" s="34"/>
      <c r="F604" s="56"/>
      <c r="G604" s="34"/>
      <c r="H604" s="34"/>
      <c r="I604" s="57"/>
    </row>
    <row r="605" spans="1:9" ht="23.25" customHeight="1">
      <c r="A605" s="57"/>
      <c r="B605" s="57"/>
      <c r="C605" s="57"/>
      <c r="D605" s="34"/>
      <c r="E605" s="34"/>
      <c r="F605" s="56"/>
      <c r="G605" s="34"/>
      <c r="H605" s="34"/>
      <c r="I605" s="57"/>
    </row>
    <row r="606" spans="1:9" ht="23.25" customHeight="1">
      <c r="A606" s="57"/>
      <c r="B606" s="57"/>
      <c r="C606" s="57"/>
      <c r="D606" s="34"/>
      <c r="E606" s="34"/>
      <c r="F606" s="56"/>
      <c r="G606" s="34"/>
      <c r="H606" s="34"/>
      <c r="I606" s="57"/>
    </row>
    <row r="607" spans="1:9" ht="23.25" customHeight="1">
      <c r="A607" s="57"/>
      <c r="B607" s="57"/>
      <c r="C607" s="57"/>
      <c r="D607" s="34"/>
      <c r="E607" s="34"/>
      <c r="F607" s="56"/>
      <c r="G607" s="34"/>
      <c r="H607" s="34"/>
      <c r="I607" s="57"/>
    </row>
    <row r="608" spans="1:9" ht="23.25" customHeight="1">
      <c r="A608" s="57"/>
      <c r="B608" s="57"/>
      <c r="C608" s="57"/>
      <c r="D608" s="34"/>
      <c r="E608" s="34"/>
      <c r="F608" s="56"/>
      <c r="G608" s="34"/>
      <c r="H608" s="34"/>
      <c r="I608" s="57"/>
    </row>
    <row r="609" spans="1:9" ht="23.25" customHeight="1">
      <c r="A609" s="333">
        <v>2</v>
      </c>
      <c r="B609" s="333"/>
      <c r="C609" s="333"/>
      <c r="D609" s="333"/>
      <c r="E609" s="333"/>
      <c r="F609" s="333"/>
      <c r="G609" s="333"/>
      <c r="H609" s="333"/>
      <c r="I609" s="333"/>
    </row>
    <row r="610" spans="1:9" ht="23.25" customHeight="1">
      <c r="A610" s="350" t="s">
        <v>91</v>
      </c>
      <c r="B610" s="351"/>
      <c r="C610" s="352"/>
      <c r="D610" s="58"/>
      <c r="E610" s="58"/>
      <c r="F610" s="58"/>
      <c r="G610" s="58"/>
      <c r="H610" s="59" t="s">
        <v>86</v>
      </c>
      <c r="I610" s="60" t="s">
        <v>88</v>
      </c>
    </row>
    <row r="611" spans="1:9" ht="23.25" customHeight="1">
      <c r="A611" s="59" t="s">
        <v>39</v>
      </c>
      <c r="B611" s="59" t="s">
        <v>228</v>
      </c>
      <c r="C611" s="59" t="s">
        <v>85</v>
      </c>
      <c r="D611" s="353" t="s">
        <v>78</v>
      </c>
      <c r="E611" s="353"/>
      <c r="F611" s="353"/>
      <c r="G611" s="353"/>
      <c r="H611" s="62" t="s">
        <v>87</v>
      </c>
      <c r="I611" s="59" t="s">
        <v>85</v>
      </c>
    </row>
    <row r="612" spans="1:9" ht="23.25" customHeight="1">
      <c r="A612" s="64" t="s">
        <v>40</v>
      </c>
      <c r="B612" s="216" t="s">
        <v>229</v>
      </c>
      <c r="C612" s="64" t="s">
        <v>40</v>
      </c>
      <c r="D612" s="65"/>
      <c r="E612" s="65"/>
      <c r="F612" s="65"/>
      <c r="G612" s="65"/>
      <c r="H612" s="66"/>
      <c r="I612" s="64" t="s">
        <v>40</v>
      </c>
    </row>
    <row r="613" spans="1:9" ht="23.25" customHeight="1">
      <c r="A613" s="68"/>
      <c r="B613" s="68"/>
      <c r="C613" s="68"/>
      <c r="D613" s="69" t="s">
        <v>92</v>
      </c>
      <c r="E613" s="70"/>
      <c r="F613" s="70"/>
      <c r="G613" s="70"/>
      <c r="H613" s="71"/>
      <c r="I613" s="72"/>
    </row>
    <row r="614" spans="1:9" ht="23.25" customHeight="1">
      <c r="A614" s="73">
        <v>6761806</v>
      </c>
      <c r="B614" s="73"/>
      <c r="C614" s="73">
        <f>572455+479826+930683+589283+440683+440683+519583</f>
        <v>3973196</v>
      </c>
      <c r="D614" s="70" t="s">
        <v>45</v>
      </c>
      <c r="F614" s="70"/>
      <c r="G614" s="70"/>
      <c r="H614" s="74">
        <v>510000</v>
      </c>
      <c r="I614" s="73">
        <v>519583</v>
      </c>
    </row>
    <row r="615" spans="1:9" ht="23.25" customHeight="1">
      <c r="A615" s="73">
        <v>2484720</v>
      </c>
      <c r="B615" s="73"/>
      <c r="C615" s="73">
        <f>I615+207060+207060+207060+207060+207060+207060</f>
        <v>1449420</v>
      </c>
      <c r="D615" s="70" t="s">
        <v>135</v>
      </c>
      <c r="F615" s="70"/>
      <c r="G615" s="70"/>
      <c r="H615" s="74">
        <v>521000</v>
      </c>
      <c r="I615" s="75">
        <v>207060</v>
      </c>
    </row>
    <row r="616" spans="1:9" ht="23.25" customHeight="1">
      <c r="A616" s="73">
        <f>5864260-162420</f>
        <v>5701840</v>
      </c>
      <c r="B616" s="73"/>
      <c r="C616" s="73">
        <f>340780+340780+340780+341490+341040+341040+327204</f>
        <v>2373114</v>
      </c>
      <c r="D616" s="70" t="s">
        <v>107</v>
      </c>
      <c r="F616" s="70"/>
      <c r="G616" s="70"/>
      <c r="H616" s="74">
        <v>522000</v>
      </c>
      <c r="I616" s="75">
        <v>327204</v>
      </c>
    </row>
    <row r="617" spans="1:9" ht="23.25" customHeight="1">
      <c r="A617" s="73">
        <v>162420</v>
      </c>
      <c r="B617" s="73"/>
      <c r="C617" s="73">
        <f>13310+13310+13310+13310+13310+13310+13760</f>
        <v>93620</v>
      </c>
      <c r="D617" s="70" t="s">
        <v>93</v>
      </c>
      <c r="F617" s="70"/>
      <c r="G617" s="70"/>
      <c r="H617" s="74">
        <v>522000</v>
      </c>
      <c r="I617" s="75">
        <v>13760</v>
      </c>
    </row>
    <row r="618" spans="1:9" ht="23.25" customHeight="1">
      <c r="A618" s="73">
        <v>1938624</v>
      </c>
      <c r="B618" s="73"/>
      <c r="C618" s="73">
        <f>147075+137075+148475+148475+148475+148475+148475</f>
        <v>1026525</v>
      </c>
      <c r="D618" s="70" t="s">
        <v>33</v>
      </c>
      <c r="F618" s="70"/>
      <c r="G618" s="70"/>
      <c r="H618" s="74">
        <v>522000</v>
      </c>
      <c r="I618" s="75">
        <v>148475</v>
      </c>
    </row>
    <row r="619" spans="1:9" ht="23.25" customHeight="1">
      <c r="A619" s="73">
        <v>895670</v>
      </c>
      <c r="B619" s="73"/>
      <c r="C619" s="73">
        <f>7400+15115+20000+9930+13000+20600+3200</f>
        <v>89245</v>
      </c>
      <c r="D619" s="70" t="s">
        <v>80</v>
      </c>
      <c r="F619" s="70"/>
      <c r="G619" s="70"/>
      <c r="H619" s="74">
        <v>531000</v>
      </c>
      <c r="I619" s="75">
        <f>8000-4800</f>
        <v>3200</v>
      </c>
    </row>
    <row r="620" spans="1:9" ht="23.25" customHeight="1">
      <c r="A620" s="73">
        <v>4175470</v>
      </c>
      <c r="B620" s="73"/>
      <c r="C620" s="73">
        <f>112050+193659.29-0.9+428958.85+220010+228739.5+532105+322037.36</f>
        <v>2037559.1</v>
      </c>
      <c r="D620" s="70" t="s">
        <v>81</v>
      </c>
      <c r="F620" s="70"/>
      <c r="G620" s="70"/>
      <c r="H620" s="76">
        <v>532000</v>
      </c>
      <c r="I620" s="75">
        <v>322037.36</v>
      </c>
    </row>
    <row r="621" spans="1:9" ht="23.25" customHeight="1">
      <c r="A621" s="77">
        <v>1880550</v>
      </c>
      <c r="B621" s="77"/>
      <c r="C621" s="73">
        <f>90550+156574+221628.39+31381+149257+236143.88</f>
        <v>885534.27</v>
      </c>
      <c r="D621" s="70" t="s">
        <v>83</v>
      </c>
      <c r="F621" s="70"/>
      <c r="G621" s="70"/>
      <c r="H621" s="76">
        <v>533000</v>
      </c>
      <c r="I621" s="75">
        <v>236143.88</v>
      </c>
    </row>
    <row r="622" spans="1:9" ht="23.25" customHeight="1">
      <c r="A622" s="77">
        <v>216000</v>
      </c>
      <c r="B622" s="77"/>
      <c r="C622" s="73">
        <f>3992.17+10529.38+15448.29+22732.73+7784.88+23091.81+244</f>
        <v>83823.26</v>
      </c>
      <c r="D622" s="70" t="s">
        <v>34</v>
      </c>
      <c r="F622" s="70"/>
      <c r="G622" s="70"/>
      <c r="H622" s="76">
        <v>534000</v>
      </c>
      <c r="I622" s="75">
        <v>244</v>
      </c>
    </row>
    <row r="623" spans="1:9" ht="23.25" customHeight="1">
      <c r="A623" s="77">
        <v>301900</v>
      </c>
      <c r="B623" s="77"/>
      <c r="C623" s="73">
        <f>72600+27000+14000</f>
        <v>113600</v>
      </c>
      <c r="D623" s="70" t="s">
        <v>36</v>
      </c>
      <c r="F623" s="70"/>
      <c r="G623" s="70"/>
      <c r="H623" s="76">
        <v>541000</v>
      </c>
      <c r="I623" s="75">
        <v>14000</v>
      </c>
    </row>
    <row r="624" spans="1:9" ht="23.25" customHeight="1">
      <c r="A624" s="77">
        <v>2041000</v>
      </c>
      <c r="B624" s="77"/>
      <c r="C624" s="73">
        <f>I624</f>
        <v>0</v>
      </c>
      <c r="D624" s="70" t="s">
        <v>37</v>
      </c>
      <c r="F624" s="70"/>
      <c r="G624" s="70"/>
      <c r="H624" s="76">
        <v>542000</v>
      </c>
      <c r="I624" s="75">
        <v>0</v>
      </c>
    </row>
    <row r="625" spans="1:9" ht="23.25" customHeight="1">
      <c r="A625" s="77">
        <v>1090000</v>
      </c>
      <c r="B625" s="77"/>
      <c r="C625" s="73">
        <f>253000+20000+330522.47+28000</f>
        <v>631522.47</v>
      </c>
      <c r="D625" s="70" t="s">
        <v>35</v>
      </c>
      <c r="F625" s="70"/>
      <c r="G625" s="70"/>
      <c r="H625" s="76">
        <v>560000</v>
      </c>
      <c r="I625" s="73">
        <v>0</v>
      </c>
    </row>
    <row r="626" spans="1:9" ht="23.25" customHeight="1">
      <c r="A626" s="77"/>
      <c r="B626" s="77"/>
      <c r="C626" s="73">
        <f>I626</f>
        <v>0</v>
      </c>
      <c r="D626" s="70" t="s">
        <v>122</v>
      </c>
      <c r="F626" s="70"/>
      <c r="G626" s="70"/>
      <c r="H626" s="76">
        <v>550000</v>
      </c>
      <c r="I626" s="73">
        <v>0</v>
      </c>
    </row>
    <row r="627" spans="1:9" ht="23.25" customHeight="1" thickBot="1">
      <c r="A627" s="78">
        <f>SUM(A613:A626)</f>
        <v>27650000</v>
      </c>
      <c r="B627" s="78"/>
      <c r="C627" s="90">
        <f>SUM(C614:C626)</f>
        <v>12757159.1</v>
      </c>
      <c r="D627" s="70"/>
      <c r="E627" s="70"/>
      <c r="F627" s="70"/>
      <c r="G627" s="70"/>
      <c r="H627" s="76"/>
      <c r="I627" s="90">
        <f>SUM(I613:I626)</f>
        <v>1791707.2399999998</v>
      </c>
    </row>
    <row r="628" spans="1:9" ht="23.25" customHeight="1" thickTop="1">
      <c r="A628" s="80"/>
      <c r="B628" s="80"/>
      <c r="C628" s="73">
        <v>2566</v>
      </c>
      <c r="D628" s="70" t="s">
        <v>201</v>
      </c>
      <c r="E628" s="70"/>
      <c r="F628" s="70"/>
      <c r="G628" s="70"/>
      <c r="H628" s="76"/>
      <c r="I628" s="73"/>
    </row>
    <row r="629" spans="1:9" ht="23.25" customHeight="1">
      <c r="A629" s="80"/>
      <c r="B629" s="80"/>
      <c r="C629" s="73">
        <f>440600+564400+422000+429300+666000+422400</f>
        <v>2944700</v>
      </c>
      <c r="D629" s="70" t="s">
        <v>352</v>
      </c>
      <c r="E629" s="70"/>
      <c r="F629" s="70"/>
      <c r="G629" s="70"/>
      <c r="H629" s="76"/>
      <c r="I629" s="73">
        <v>422400</v>
      </c>
    </row>
    <row r="630" spans="1:9" ht="23.25" customHeight="1">
      <c r="A630" s="83"/>
      <c r="B630" s="83"/>
      <c r="C630" s="73">
        <f>475000+253800+392500+17238.5+382500</f>
        <v>1521038.5</v>
      </c>
      <c r="D630" s="82" t="s">
        <v>18</v>
      </c>
      <c r="E630" s="34"/>
      <c r="F630" s="70"/>
      <c r="G630" s="70"/>
      <c r="H630" s="74"/>
      <c r="I630" s="73">
        <v>0</v>
      </c>
    </row>
    <row r="631" spans="1:9" ht="23.25" customHeight="1">
      <c r="A631" s="83"/>
      <c r="B631" s="83"/>
      <c r="C631" s="73">
        <f>166200+263450</f>
        <v>429650</v>
      </c>
      <c r="D631" s="82" t="s">
        <v>389</v>
      </c>
      <c r="E631" s="34"/>
      <c r="F631" s="70"/>
      <c r="G631" s="70"/>
      <c r="H631" s="74"/>
      <c r="I631" s="73">
        <v>0</v>
      </c>
    </row>
    <row r="632" spans="1:9" ht="23.25" customHeight="1">
      <c r="A632" s="81"/>
      <c r="B632" s="81"/>
      <c r="C632" s="73">
        <f>6988.19+5599.5+4923.02+13007.36+2976.64+3515.79+8965.37</f>
        <v>45975.87</v>
      </c>
      <c r="D632" s="82" t="s">
        <v>232</v>
      </c>
      <c r="E632" s="34"/>
      <c r="F632" s="70"/>
      <c r="G632" s="70"/>
      <c r="H632" s="74"/>
      <c r="I632" s="73">
        <v>8965.37</v>
      </c>
    </row>
    <row r="633" spans="1:9" ht="23.25" customHeight="1">
      <c r="A633" s="81"/>
      <c r="B633" s="81"/>
      <c r="C633" s="73">
        <v>2842.38</v>
      </c>
      <c r="D633" s="82" t="s">
        <v>407</v>
      </c>
      <c r="E633" s="34"/>
      <c r="F633" s="70"/>
      <c r="G633" s="70"/>
      <c r="H633" s="74"/>
      <c r="I633" s="73">
        <v>0</v>
      </c>
    </row>
    <row r="634" spans="1:9" ht="23.25" customHeight="1">
      <c r="A634" s="81"/>
      <c r="B634" s="81"/>
      <c r="C634" s="73">
        <f>16050+9450</f>
        <v>25500</v>
      </c>
      <c r="D634" s="34" t="s">
        <v>237</v>
      </c>
      <c r="F634" s="70"/>
      <c r="G634" s="70"/>
      <c r="H634" s="76">
        <v>300000</v>
      </c>
      <c r="I634" s="73">
        <v>0</v>
      </c>
    </row>
    <row r="635" spans="1:9" ht="23.25" customHeight="1">
      <c r="A635" s="81"/>
      <c r="B635" s="81"/>
      <c r="C635" s="73">
        <f>13926+7283+7283+7283+7283+7283</f>
        <v>50341</v>
      </c>
      <c r="D635" s="82" t="s">
        <v>238</v>
      </c>
      <c r="E635" s="45"/>
      <c r="F635" s="70"/>
      <c r="G635" s="70"/>
      <c r="H635" s="74">
        <v>230000</v>
      </c>
      <c r="I635" s="73">
        <v>7283</v>
      </c>
    </row>
    <row r="636" spans="1:9" ht="23.25" customHeight="1">
      <c r="A636" s="81"/>
      <c r="B636" s="81"/>
      <c r="C636" s="73">
        <v>100000</v>
      </c>
      <c r="D636" s="82" t="s">
        <v>77</v>
      </c>
      <c r="E636" s="45"/>
      <c r="F636" s="70"/>
      <c r="G636" s="70"/>
      <c r="H636" s="74">
        <v>110605</v>
      </c>
      <c r="I636" s="73"/>
    </row>
    <row r="637" spans="1:9" ht="23.25" customHeight="1">
      <c r="A637" s="81"/>
      <c r="B637" s="81"/>
      <c r="C637" s="77">
        <f>29388+51250+29187+29374+36674+35572+31572</f>
        <v>243017</v>
      </c>
      <c r="D637" s="213" t="s">
        <v>239</v>
      </c>
      <c r="E637" s="45"/>
      <c r="F637" s="34"/>
      <c r="G637" s="34"/>
      <c r="H637" s="214"/>
      <c r="I637" s="47">
        <v>31572</v>
      </c>
    </row>
    <row r="638" spans="1:9" ht="23.25" customHeight="1">
      <c r="A638" s="81"/>
      <c r="B638" s="81"/>
      <c r="C638" s="77">
        <f>63100+63100+63100+57400+46000+43000+31700</f>
        <v>367400</v>
      </c>
      <c r="D638" s="213" t="s">
        <v>240</v>
      </c>
      <c r="E638" s="45"/>
      <c r="F638" s="34"/>
      <c r="G638" s="34"/>
      <c r="H638" s="214"/>
      <c r="I638" s="47">
        <v>31700</v>
      </c>
    </row>
    <row r="639" spans="1:9" ht="23.25" customHeight="1">
      <c r="A639" s="81"/>
      <c r="B639" s="81"/>
      <c r="C639" s="77">
        <f>81086+54466+78186+74435+74435+67877+64788</f>
        <v>495273</v>
      </c>
      <c r="D639" s="213" t="s">
        <v>241</v>
      </c>
      <c r="E639" s="45"/>
      <c r="F639" s="34"/>
      <c r="G639" s="34"/>
      <c r="H639" s="214"/>
      <c r="I639" s="47">
        <v>64788</v>
      </c>
    </row>
    <row r="640" spans="1:9" ht="23.25" customHeight="1">
      <c r="A640" s="81"/>
      <c r="B640" s="81"/>
      <c r="C640" s="77">
        <f>22027+22027+27315+27212+27351+25651+29045</f>
        <v>180628</v>
      </c>
      <c r="D640" s="213" t="s">
        <v>242</v>
      </c>
      <c r="E640" s="45"/>
      <c r="F640" s="34"/>
      <c r="G640" s="34"/>
      <c r="H640" s="214"/>
      <c r="I640" s="47">
        <v>29045</v>
      </c>
    </row>
    <row r="641" spans="1:9" ht="23.25" customHeight="1">
      <c r="A641" s="81"/>
      <c r="B641" s="81"/>
      <c r="C641" s="73"/>
      <c r="D641" s="82"/>
      <c r="E641" s="45"/>
      <c r="F641" s="70"/>
      <c r="G641" s="70"/>
      <c r="H641" s="74"/>
      <c r="I641" s="73"/>
    </row>
    <row r="642" spans="1:9" ht="23.25" customHeight="1">
      <c r="A642" s="85"/>
      <c r="B642" s="85"/>
      <c r="C642" s="86">
        <f>SUM(C628:C641)</f>
        <v>6408931.75</v>
      </c>
      <c r="D642" s="82"/>
      <c r="E642" s="45"/>
      <c r="F642" s="70"/>
      <c r="G642" s="70"/>
      <c r="H642" s="87"/>
      <c r="I642" s="88">
        <f>SUM(I628:I641)</f>
        <v>595753.37</v>
      </c>
    </row>
    <row r="643" spans="1:9" ht="23.25" customHeight="1" thickBot="1">
      <c r="A643" s="89">
        <f>SUM(A627)</f>
        <v>27650000</v>
      </c>
      <c r="B643" s="89"/>
      <c r="C643" s="90">
        <f>SUM(C627+C642)</f>
        <v>19166090.85</v>
      </c>
      <c r="D643" s="333" t="s">
        <v>94</v>
      </c>
      <c r="E643" s="333"/>
      <c r="F643" s="333"/>
      <c r="G643" s="333"/>
      <c r="H643" s="34"/>
      <c r="I643" s="90">
        <f>SUM(I627+I642)</f>
        <v>2387460.61</v>
      </c>
    </row>
    <row r="644" spans="1:9" ht="23.25" customHeight="1" thickTop="1">
      <c r="A644" s="70"/>
      <c r="B644" s="70"/>
      <c r="C644" s="68"/>
      <c r="D644" s="333" t="s">
        <v>95</v>
      </c>
      <c r="E644" s="333"/>
      <c r="F644" s="333"/>
      <c r="G644" s="333"/>
      <c r="H644" s="70"/>
      <c r="I644" s="91"/>
    </row>
    <row r="645" spans="1:9" ht="23.25" customHeight="1">
      <c r="A645" s="70"/>
      <c r="B645" s="70"/>
      <c r="C645" s="68"/>
      <c r="D645" s="333" t="s">
        <v>96</v>
      </c>
      <c r="E645" s="333"/>
      <c r="F645" s="333"/>
      <c r="G645" s="333"/>
      <c r="H645" s="70"/>
      <c r="I645" s="91"/>
    </row>
    <row r="646" spans="1:9" ht="23.25" customHeight="1">
      <c r="A646" s="69"/>
      <c r="B646" s="69"/>
      <c r="C646" s="92">
        <f>C595-C643</f>
        <v>1274646.9899999946</v>
      </c>
      <c r="D646" s="348" t="s">
        <v>98</v>
      </c>
      <c r="E646" s="348"/>
      <c r="F646" s="348"/>
      <c r="G646" s="348"/>
      <c r="H646" s="69"/>
      <c r="I646" s="92">
        <f>I595-I643</f>
        <v>553755.0700000003</v>
      </c>
    </row>
    <row r="647" spans="1:9" ht="23.25" customHeight="1">
      <c r="A647" s="69"/>
      <c r="B647" s="69"/>
      <c r="C647" s="95">
        <f>SUM(C568+C595-C643)</f>
        <v>12566573.479999997</v>
      </c>
      <c r="D647" s="348" t="s">
        <v>97</v>
      </c>
      <c r="E647" s="348"/>
      <c r="F647" s="348"/>
      <c r="G647" s="348"/>
      <c r="H647" s="69"/>
      <c r="I647" s="95">
        <f>SUM(I568+I595-I643)</f>
        <v>12566573.48</v>
      </c>
    </row>
    <row r="648" spans="1:9" ht="23.25" customHeight="1">
      <c r="A648" s="69"/>
      <c r="B648" s="69"/>
      <c r="C648" s="217"/>
      <c r="D648" s="206"/>
      <c r="E648" s="206"/>
      <c r="F648" s="206"/>
      <c r="G648" s="206"/>
      <c r="H648" s="69"/>
      <c r="I648" s="217"/>
    </row>
    <row r="649" spans="1:9" ht="23.25" customHeight="1">
      <c r="A649" s="70"/>
      <c r="B649" s="70"/>
      <c r="C649" s="70"/>
      <c r="D649" s="70"/>
      <c r="E649" s="70"/>
      <c r="F649" s="70"/>
      <c r="G649" s="70"/>
      <c r="H649" s="70"/>
      <c r="I649" s="70"/>
    </row>
    <row r="650" spans="1:9" ht="23.25" customHeight="1">
      <c r="A650" s="349" t="s">
        <v>262</v>
      </c>
      <c r="B650" s="349"/>
      <c r="C650" s="349"/>
      <c r="D650" s="349" t="s">
        <v>263</v>
      </c>
      <c r="E650" s="349"/>
      <c r="F650" s="349"/>
      <c r="G650" s="349" t="s">
        <v>5</v>
      </c>
      <c r="H650" s="349"/>
      <c r="I650" s="349"/>
    </row>
    <row r="651" spans="1:9" ht="23.25" customHeight="1">
      <c r="A651" s="349" t="s">
        <v>430</v>
      </c>
      <c r="B651" s="349"/>
      <c r="C651" s="349"/>
      <c r="D651" s="333" t="s">
        <v>126</v>
      </c>
      <c r="E651" s="333"/>
      <c r="F651" s="333"/>
      <c r="G651" s="333" t="s">
        <v>264</v>
      </c>
      <c r="H651" s="333"/>
      <c r="I651" s="333"/>
    </row>
    <row r="652" spans="1:9" ht="23.25" customHeight="1">
      <c r="A652" s="346" t="s">
        <v>431</v>
      </c>
      <c r="B652" s="346"/>
      <c r="C652" s="346"/>
      <c r="D652" s="347" t="s">
        <v>127</v>
      </c>
      <c r="E652" s="347"/>
      <c r="F652" s="347"/>
      <c r="G652" s="347" t="s">
        <v>265</v>
      </c>
      <c r="H652" s="347"/>
      <c r="I652" s="347"/>
    </row>
    <row r="653" spans="1:6" ht="23.25" customHeight="1">
      <c r="A653" s="346" t="s">
        <v>261</v>
      </c>
      <c r="B653" s="346"/>
      <c r="C653" s="346"/>
      <c r="D653" s="97"/>
      <c r="E653" s="97"/>
      <c r="F653" s="97"/>
    </row>
    <row r="654" spans="1:6" ht="23.25" customHeight="1">
      <c r="A654" s="283"/>
      <c r="B654" s="283"/>
      <c r="C654" s="283"/>
      <c r="D654" s="97"/>
      <c r="E654" s="97"/>
      <c r="F654" s="97"/>
    </row>
    <row r="655" spans="1:6" ht="23.25" customHeight="1">
      <c r="A655" s="283"/>
      <c r="B655" s="283"/>
      <c r="C655" s="283"/>
      <c r="D655" s="97"/>
      <c r="E655" s="97"/>
      <c r="F655" s="97"/>
    </row>
    <row r="656" spans="1:9" ht="23.25" customHeight="1">
      <c r="A656" s="335" t="s">
        <v>132</v>
      </c>
      <c r="B656" s="335"/>
      <c r="C656" s="335"/>
      <c r="D656" s="335"/>
      <c r="E656" s="335"/>
      <c r="F656" s="335"/>
      <c r="G656" s="335"/>
      <c r="H656" s="335"/>
      <c r="I656" s="335"/>
    </row>
    <row r="657" spans="1:9" ht="23.25" customHeight="1">
      <c r="A657" s="348" t="s">
        <v>102</v>
      </c>
      <c r="B657" s="348"/>
      <c r="C657" s="348"/>
      <c r="D657" s="348"/>
      <c r="E657" s="348"/>
      <c r="F657" s="348"/>
      <c r="G657" s="348"/>
      <c r="H657" s="348"/>
      <c r="I657" s="348"/>
    </row>
    <row r="658" spans="1:9" ht="23.25" customHeight="1" thickBot="1">
      <c r="A658" s="206"/>
      <c r="B658" s="354" t="s">
        <v>451</v>
      </c>
      <c r="C658" s="354"/>
      <c r="D658" s="354"/>
      <c r="E658" s="354"/>
      <c r="F658" s="354"/>
      <c r="G658" s="354"/>
      <c r="H658" s="354"/>
      <c r="I658" s="206"/>
    </row>
    <row r="659" spans="1:9" ht="23.25" customHeight="1" thickBot="1">
      <c r="A659" s="355" t="s">
        <v>84</v>
      </c>
      <c r="B659" s="356"/>
      <c r="C659" s="357"/>
      <c r="D659" s="358" t="s">
        <v>78</v>
      </c>
      <c r="E659" s="359"/>
      <c r="F659" s="359"/>
      <c r="G659" s="360"/>
      <c r="H659" s="21" t="s">
        <v>86</v>
      </c>
      <c r="I659" s="22" t="s">
        <v>88</v>
      </c>
    </row>
    <row r="660" spans="1:9" ht="23.25" customHeight="1">
      <c r="A660" s="21" t="s">
        <v>39</v>
      </c>
      <c r="B660" s="21" t="s">
        <v>228</v>
      </c>
      <c r="C660" s="21" t="s">
        <v>85</v>
      </c>
      <c r="D660" s="361"/>
      <c r="E660" s="362"/>
      <c r="F660" s="362"/>
      <c r="G660" s="363"/>
      <c r="H660" s="23" t="s">
        <v>87</v>
      </c>
      <c r="I660" s="21" t="s">
        <v>85</v>
      </c>
    </row>
    <row r="661" spans="1:9" ht="23.25" customHeight="1" thickBot="1">
      <c r="A661" s="24" t="s">
        <v>40</v>
      </c>
      <c r="B661" s="212" t="s">
        <v>229</v>
      </c>
      <c r="C661" s="24" t="s">
        <v>40</v>
      </c>
      <c r="D661" s="364"/>
      <c r="E661" s="365"/>
      <c r="F661" s="365"/>
      <c r="G661" s="366"/>
      <c r="H661" s="25"/>
      <c r="I661" s="24" t="s">
        <v>40</v>
      </c>
    </row>
    <row r="662" spans="1:9" ht="23.25" customHeight="1">
      <c r="A662" s="26"/>
      <c r="B662" s="26"/>
      <c r="C662" s="27">
        <v>11291926.49</v>
      </c>
      <c r="D662" s="28" t="s">
        <v>99</v>
      </c>
      <c r="E662" s="29"/>
      <c r="F662" s="29"/>
      <c r="G662" s="30"/>
      <c r="H662" s="31"/>
      <c r="I662" s="205">
        <f>I647</f>
        <v>12566573.48</v>
      </c>
    </row>
    <row r="663" spans="1:9" ht="23.25" customHeight="1">
      <c r="A663" s="26"/>
      <c r="B663" s="26"/>
      <c r="C663" s="32"/>
      <c r="D663" s="33" t="s">
        <v>89</v>
      </c>
      <c r="E663" s="34"/>
      <c r="F663" s="34"/>
      <c r="G663" s="35"/>
      <c r="H663" s="37"/>
      <c r="I663" s="39"/>
    </row>
    <row r="664" spans="1:9" ht="23.25" customHeight="1">
      <c r="A664" s="36">
        <v>58000</v>
      </c>
      <c r="B664" s="36"/>
      <c r="C664" s="36">
        <f>11293.82+43012.69+6286.5+3896.84+6700.36</f>
        <v>71190.21</v>
      </c>
      <c r="D664" s="37" t="s">
        <v>41</v>
      </c>
      <c r="E664" s="34"/>
      <c r="F664" s="34"/>
      <c r="G664" s="35"/>
      <c r="H664" s="38">
        <v>411000</v>
      </c>
      <c r="I664" s="39">
        <f>2180.11+4520.25</f>
        <v>6700.360000000001</v>
      </c>
    </row>
    <row r="665" spans="1:9" ht="23.25" customHeight="1">
      <c r="A665" s="36">
        <v>26000</v>
      </c>
      <c r="B665" s="36"/>
      <c r="C665" s="36">
        <f>1636.4+2740+6047.6+500+1326.6+50+302+2847.6</f>
        <v>15450.2</v>
      </c>
      <c r="D665" s="37" t="s">
        <v>90</v>
      </c>
      <c r="E665" s="34"/>
      <c r="F665" s="34"/>
      <c r="G665" s="35"/>
      <c r="H665" s="38">
        <v>412000</v>
      </c>
      <c r="I665" s="36">
        <f>2770+77.6</f>
        <v>2847.6</v>
      </c>
    </row>
    <row r="666" spans="1:9" ht="23.25" customHeight="1">
      <c r="A666" s="36">
        <v>70000</v>
      </c>
      <c r="B666" s="36"/>
      <c r="C666" s="36">
        <v>23672.04</v>
      </c>
      <c r="D666" s="37" t="s">
        <v>42</v>
      </c>
      <c r="E666" s="34"/>
      <c r="F666" s="34"/>
      <c r="G666" s="35"/>
      <c r="H666" s="38">
        <v>413000</v>
      </c>
      <c r="I666" s="36">
        <v>0</v>
      </c>
    </row>
    <row r="667" spans="1:9" ht="23.25" customHeight="1">
      <c r="A667" s="36">
        <v>41000</v>
      </c>
      <c r="B667" s="36"/>
      <c r="C667" s="36">
        <f>819.4+12550+100</f>
        <v>13469.4</v>
      </c>
      <c r="D667" s="37" t="s">
        <v>43</v>
      </c>
      <c r="E667" s="34"/>
      <c r="F667" s="34"/>
      <c r="G667" s="35"/>
      <c r="H667" s="38">
        <v>415000</v>
      </c>
      <c r="I667" s="39">
        <v>0</v>
      </c>
    </row>
    <row r="668" spans="1:9" ht="23.25" customHeight="1">
      <c r="A668" s="36">
        <v>13150500</v>
      </c>
      <c r="B668" s="36"/>
      <c r="C668" s="36">
        <f>788344.77+1330617.03+1065104.85+446671.74+1157541.33+1874565.16+452109.7+1965434.07</f>
        <v>9080388.65</v>
      </c>
      <c r="D668" s="37" t="s">
        <v>44</v>
      </c>
      <c r="E668" s="34"/>
      <c r="F668" s="34"/>
      <c r="G668" s="35"/>
      <c r="H668" s="40">
        <v>420000</v>
      </c>
      <c r="I668" s="39">
        <f>1520999.52+79858.83+7218.78+60111.76+148930.61+12632.77+5935+18490+111256.8</f>
        <v>1965434.07</v>
      </c>
    </row>
    <row r="669" spans="1:9" ht="23.25" customHeight="1">
      <c r="A669" s="36">
        <v>14304500</v>
      </c>
      <c r="B669" s="36"/>
      <c r="C669" s="36">
        <f>3261953+3161934+1819113</f>
        <v>8243000</v>
      </c>
      <c r="D669" s="37" t="s">
        <v>101</v>
      </c>
      <c r="E669" s="34"/>
      <c r="F669" s="34"/>
      <c r="G669" s="35"/>
      <c r="H669" s="40">
        <v>430000</v>
      </c>
      <c r="I669" s="39">
        <v>0</v>
      </c>
    </row>
    <row r="670" spans="1:9" ht="23.25" customHeight="1" thickBot="1">
      <c r="A670" s="41">
        <f>SUM(A664:A669)</f>
        <v>27650000</v>
      </c>
      <c r="B670" s="41"/>
      <c r="C670" s="42">
        <f>SUM(C664:C669)</f>
        <v>17447170.5</v>
      </c>
      <c r="D670" s="37"/>
      <c r="E670" s="34"/>
      <c r="F670" s="34"/>
      <c r="G670" s="35"/>
      <c r="H670" s="40"/>
      <c r="I670" s="41">
        <f>SUM(I664:I669)</f>
        <v>1974982.03</v>
      </c>
    </row>
    <row r="671" spans="1:9" ht="23.25" customHeight="1" thickTop="1">
      <c r="A671" s="36"/>
      <c r="B671" s="36"/>
      <c r="C671" s="36">
        <v>2566</v>
      </c>
      <c r="D671" s="37" t="s">
        <v>231</v>
      </c>
      <c r="E671" s="34"/>
      <c r="F671" s="34"/>
      <c r="G671" s="35"/>
      <c r="H671" s="40">
        <v>110605</v>
      </c>
      <c r="I671" s="36"/>
    </row>
    <row r="672" spans="1:9" ht="23.25" customHeight="1">
      <c r="A672" s="36"/>
      <c r="B672" s="36"/>
      <c r="C672" s="36">
        <f>440600+564400+422000+423200+672100+422400+420300</f>
        <v>3365000</v>
      </c>
      <c r="D672" s="37" t="s">
        <v>103</v>
      </c>
      <c r="E672" s="34"/>
      <c r="F672" s="34"/>
      <c r="G672" s="35"/>
      <c r="H672" s="40"/>
      <c r="I672" s="36">
        <v>420300</v>
      </c>
    </row>
    <row r="673" spans="1:9" ht="23.25" customHeight="1">
      <c r="A673" s="26"/>
      <c r="B673" s="26"/>
      <c r="C673" s="43">
        <f>5599.5+4923.02+13007.36+2976.64+3515.79+8965.37+4612.69+3671.78</f>
        <v>47272.15</v>
      </c>
      <c r="D673" s="44" t="s">
        <v>232</v>
      </c>
      <c r="E673" s="45"/>
      <c r="F673" s="34"/>
      <c r="G673" s="35"/>
      <c r="H673" s="40"/>
      <c r="I673" s="46">
        <v>3671.78</v>
      </c>
    </row>
    <row r="674" spans="1:9" ht="23.25" customHeight="1">
      <c r="A674" s="26"/>
      <c r="B674" s="26"/>
      <c r="C674" s="43">
        <f>429650</f>
        <v>429650</v>
      </c>
      <c r="D674" s="44" t="s">
        <v>233</v>
      </c>
      <c r="E674" s="45"/>
      <c r="F674" s="34"/>
      <c r="G674" s="47"/>
      <c r="H674" s="40"/>
      <c r="I674" s="48"/>
    </row>
    <row r="675" spans="1:9" ht="23.25" customHeight="1">
      <c r="A675" s="26"/>
      <c r="B675" s="26"/>
      <c r="C675" s="43">
        <f>7213+6713+7283+7283+7283+7283+7283+7853</f>
        <v>58194</v>
      </c>
      <c r="D675" s="44" t="s">
        <v>234</v>
      </c>
      <c r="E675" s="45"/>
      <c r="F675" s="34"/>
      <c r="G675" s="35"/>
      <c r="H675" s="49"/>
      <c r="I675" s="48">
        <v>7853</v>
      </c>
    </row>
    <row r="676" spans="1:9" ht="23.25" customHeight="1">
      <c r="A676" s="26"/>
      <c r="B676" s="26"/>
      <c r="C676" s="43">
        <f>639.93+1274.06+356.5+248.91+139.39</f>
        <v>2658.7899999999995</v>
      </c>
      <c r="D676" s="82" t="s">
        <v>407</v>
      </c>
      <c r="E676" s="45"/>
      <c r="F676" s="34"/>
      <c r="G676" s="35"/>
      <c r="H676" s="49"/>
      <c r="I676" s="48">
        <v>139.39</v>
      </c>
    </row>
    <row r="677" spans="1:9" ht="23.25" customHeight="1">
      <c r="A677" s="26"/>
      <c r="B677" s="26"/>
      <c r="C677" s="43">
        <v>4.07</v>
      </c>
      <c r="D677" s="13" t="s">
        <v>173</v>
      </c>
      <c r="E677" s="45"/>
      <c r="F677" s="34"/>
      <c r="G677" s="35"/>
      <c r="H677" s="49"/>
      <c r="I677" s="48">
        <v>0</v>
      </c>
    </row>
    <row r="678" spans="1:9" ht="23.25" customHeight="1">
      <c r="A678" s="26"/>
      <c r="B678" s="26"/>
      <c r="C678" s="43">
        <f>100000+468.43+100000</f>
        <v>200468.43</v>
      </c>
      <c r="D678" s="44" t="s">
        <v>235</v>
      </c>
      <c r="E678" s="45"/>
      <c r="F678" s="34"/>
      <c r="G678" s="35"/>
      <c r="H678" s="40"/>
      <c r="I678" s="48">
        <v>100000</v>
      </c>
    </row>
    <row r="679" spans="1:9" ht="23.25" customHeight="1">
      <c r="A679" s="26"/>
      <c r="B679" s="26"/>
      <c r="C679" s="43">
        <f>24450+13875+8450+11600+19625</f>
        <v>78000</v>
      </c>
      <c r="D679" s="44" t="s">
        <v>236</v>
      </c>
      <c r="E679" s="45"/>
      <c r="F679" s="34"/>
      <c r="G679" s="35"/>
      <c r="H679" s="40"/>
      <c r="I679" s="48">
        <f>19625</f>
        <v>19625</v>
      </c>
    </row>
    <row r="680" spans="1:9" ht="23.25" customHeight="1">
      <c r="A680" s="26"/>
      <c r="B680" s="26"/>
      <c r="C680" s="43">
        <f>29388+51250+29187+29374+36674+35572+31572+31800</f>
        <v>274817</v>
      </c>
      <c r="D680" s="44" t="s">
        <v>239</v>
      </c>
      <c r="E680" s="45"/>
      <c r="F680" s="34"/>
      <c r="G680" s="35"/>
      <c r="H680" s="40"/>
      <c r="I680" s="48">
        <v>31800</v>
      </c>
    </row>
    <row r="681" spans="1:9" ht="23.25" customHeight="1">
      <c r="A681" s="26"/>
      <c r="B681" s="26"/>
      <c r="C681" s="43">
        <f>63100+63100+63100+57400+46000+43000+31700+31700</f>
        <v>399100</v>
      </c>
      <c r="D681" s="44" t="s">
        <v>240</v>
      </c>
      <c r="E681" s="45"/>
      <c r="F681" s="34"/>
      <c r="G681" s="34"/>
      <c r="H681" s="40"/>
      <c r="I681" s="47">
        <v>31700</v>
      </c>
    </row>
    <row r="682" spans="1:9" ht="23.25" customHeight="1">
      <c r="A682" s="26"/>
      <c r="B682" s="26"/>
      <c r="C682" s="43">
        <f>81086+54466+78186+74435+74435+67877+64788+38168</f>
        <v>533441</v>
      </c>
      <c r="D682" s="44" t="s">
        <v>241</v>
      </c>
      <c r="E682" s="45"/>
      <c r="F682" s="34"/>
      <c r="G682" s="34"/>
      <c r="H682" s="40"/>
      <c r="I682" s="47">
        <v>38168</v>
      </c>
    </row>
    <row r="683" spans="1:9" ht="23.25" customHeight="1">
      <c r="A683" s="26"/>
      <c r="B683" s="26"/>
      <c r="C683" s="43">
        <f>22027+22027+27315+27212+27351+25651+29045+29104</f>
        <v>209732</v>
      </c>
      <c r="D683" s="44" t="s">
        <v>242</v>
      </c>
      <c r="E683" s="45"/>
      <c r="F683" s="34"/>
      <c r="G683" s="34"/>
      <c r="H683" s="40"/>
      <c r="I683" s="47">
        <v>29104</v>
      </c>
    </row>
    <row r="684" spans="1:9" ht="23.25" customHeight="1">
      <c r="A684" s="26"/>
      <c r="B684" s="26"/>
      <c r="C684" s="43">
        <v>50000</v>
      </c>
      <c r="D684" s="155" t="s">
        <v>428</v>
      </c>
      <c r="E684" s="45"/>
      <c r="F684" s="34"/>
      <c r="G684" s="34"/>
      <c r="H684" s="40"/>
      <c r="I684" s="47">
        <v>0</v>
      </c>
    </row>
    <row r="685" spans="1:9" ht="23.25" customHeight="1">
      <c r="A685" s="26"/>
      <c r="B685" s="26"/>
      <c r="C685" s="43"/>
      <c r="D685" s="156" t="s">
        <v>429</v>
      </c>
      <c r="E685" s="45"/>
      <c r="F685" s="34"/>
      <c r="G685" s="34"/>
      <c r="H685" s="40"/>
      <c r="I685" s="47"/>
    </row>
    <row r="686" spans="1:9" ht="23.25" customHeight="1">
      <c r="A686" s="26"/>
      <c r="B686" s="26"/>
      <c r="C686" s="43">
        <v>7.1</v>
      </c>
      <c r="D686" s="44" t="s">
        <v>38</v>
      </c>
      <c r="E686" s="45"/>
      <c r="F686" s="34"/>
      <c r="G686" s="34"/>
      <c r="H686" s="40"/>
      <c r="I686" s="47"/>
    </row>
    <row r="687" spans="1:9" ht="23.25" customHeight="1">
      <c r="A687" s="26"/>
      <c r="B687" s="26"/>
      <c r="C687" s="43"/>
      <c r="D687" s="44"/>
      <c r="E687" s="45"/>
      <c r="F687" s="34"/>
      <c r="G687" s="34"/>
      <c r="H687" s="40"/>
      <c r="I687" s="47"/>
    </row>
    <row r="688" spans="1:9" ht="23.25" customHeight="1" thickBot="1">
      <c r="A688" s="26"/>
      <c r="B688" s="26"/>
      <c r="C688" s="52">
        <f>SUM(C671:C687)</f>
        <v>5650910.539999999</v>
      </c>
      <c r="D688" s="37"/>
      <c r="E688" s="34"/>
      <c r="F688" s="34"/>
      <c r="G688" s="34"/>
      <c r="H688" s="35"/>
      <c r="I688" s="54">
        <f>SUM(I671:I686)</f>
        <v>682361.17</v>
      </c>
    </row>
    <row r="689" spans="1:9" ht="23.25" customHeight="1" thickBot="1">
      <c r="A689" s="55">
        <f>SUM(A670)</f>
        <v>27650000</v>
      </c>
      <c r="B689" s="211"/>
      <c r="C689" s="41">
        <f>SUM(C670+C688)</f>
        <v>23098081.04</v>
      </c>
      <c r="D689" s="37"/>
      <c r="E689" s="34"/>
      <c r="F689" s="56" t="s">
        <v>106</v>
      </c>
      <c r="G689" s="34"/>
      <c r="H689" s="35"/>
      <c r="I689" s="41">
        <f>SUM(I670+I688)</f>
        <v>2657343.2</v>
      </c>
    </row>
    <row r="690" spans="1:9" ht="23.25" customHeight="1">
      <c r="A690" s="57"/>
      <c r="B690" s="57"/>
      <c r="C690" s="57"/>
      <c r="D690" s="34"/>
      <c r="E690" s="34"/>
      <c r="F690" s="56"/>
      <c r="G690" s="34"/>
      <c r="H690" s="34"/>
      <c r="I690" s="57"/>
    </row>
    <row r="691" spans="1:9" ht="23.25" customHeight="1">
      <c r="A691" s="57"/>
      <c r="B691" s="57"/>
      <c r="C691" s="57"/>
      <c r="D691" s="34"/>
      <c r="E691" s="34"/>
      <c r="F691" s="56"/>
      <c r="G691" s="34"/>
      <c r="H691" s="34"/>
      <c r="I691" s="57"/>
    </row>
    <row r="692" spans="1:9" ht="23.25" customHeight="1">
      <c r="A692" s="57"/>
      <c r="B692" s="57"/>
      <c r="C692" s="57"/>
      <c r="D692" s="34"/>
      <c r="E692" s="34"/>
      <c r="F692" s="56"/>
      <c r="G692" s="34"/>
      <c r="H692" s="34"/>
      <c r="I692" s="57"/>
    </row>
    <row r="693" spans="1:9" ht="23.25" customHeight="1">
      <c r="A693" s="57"/>
      <c r="B693" s="57"/>
      <c r="C693" s="57"/>
      <c r="D693" s="34"/>
      <c r="E693" s="34"/>
      <c r="F693" s="56"/>
      <c r="G693" s="34"/>
      <c r="H693" s="34"/>
      <c r="I693" s="57"/>
    </row>
    <row r="694" spans="1:9" ht="23.25" customHeight="1">
      <c r="A694" s="57"/>
      <c r="B694" s="57"/>
      <c r="C694" s="57"/>
      <c r="D694" s="34"/>
      <c r="E694" s="34"/>
      <c r="F694" s="56"/>
      <c r="G694" s="34"/>
      <c r="H694" s="34"/>
      <c r="I694" s="57"/>
    </row>
    <row r="695" spans="1:9" ht="23.25" customHeight="1">
      <c r="A695" s="57"/>
      <c r="B695" s="57"/>
      <c r="C695" s="57"/>
      <c r="D695" s="34"/>
      <c r="E695" s="34"/>
      <c r="F695" s="56"/>
      <c r="G695" s="34"/>
      <c r="H695" s="34"/>
      <c r="I695" s="57"/>
    </row>
    <row r="696" spans="1:9" ht="23.25" customHeight="1">
      <c r="A696" s="57"/>
      <c r="B696" s="57"/>
      <c r="C696" s="57"/>
      <c r="D696" s="34"/>
      <c r="E696" s="34"/>
      <c r="F696" s="56"/>
      <c r="G696" s="34"/>
      <c r="H696" s="34"/>
      <c r="I696" s="57"/>
    </row>
    <row r="697" spans="1:9" ht="23.25" customHeight="1">
      <c r="A697" s="57"/>
      <c r="B697" s="57"/>
      <c r="C697" s="57"/>
      <c r="D697" s="34"/>
      <c r="E697" s="34"/>
      <c r="F697" s="56"/>
      <c r="G697" s="34"/>
      <c r="H697" s="34"/>
      <c r="I697" s="57"/>
    </row>
    <row r="698" spans="1:9" ht="23.25" customHeight="1">
      <c r="A698" s="57"/>
      <c r="B698" s="57"/>
      <c r="C698" s="57"/>
      <c r="D698" s="34"/>
      <c r="E698" s="34"/>
      <c r="F698" s="56"/>
      <c r="G698" s="34"/>
      <c r="H698" s="34"/>
      <c r="I698" s="57"/>
    </row>
    <row r="699" spans="1:9" ht="23.25" customHeight="1">
      <c r="A699" s="57"/>
      <c r="B699" s="57"/>
      <c r="C699" s="57"/>
      <c r="D699" s="34"/>
      <c r="E699" s="34"/>
      <c r="F699" s="56"/>
      <c r="G699" s="34"/>
      <c r="H699" s="34"/>
      <c r="I699" s="57"/>
    </row>
    <row r="700" spans="1:9" ht="23.25" customHeight="1">
      <c r="A700" s="57"/>
      <c r="B700" s="57"/>
      <c r="C700" s="57"/>
      <c r="D700" s="34"/>
      <c r="E700" s="34"/>
      <c r="F700" s="56"/>
      <c r="G700" s="34"/>
      <c r="H700" s="34"/>
      <c r="I700" s="57"/>
    </row>
    <row r="701" spans="1:9" ht="23.25" customHeight="1">
      <c r="A701" s="57"/>
      <c r="B701" s="57"/>
      <c r="C701" s="57"/>
      <c r="D701" s="34"/>
      <c r="E701" s="34"/>
      <c r="F701" s="56"/>
      <c r="G701" s="34"/>
      <c r="H701" s="34"/>
      <c r="I701" s="57"/>
    </row>
    <row r="702" spans="1:9" ht="23.25" customHeight="1">
      <c r="A702" s="57"/>
      <c r="B702" s="57"/>
      <c r="C702" s="57"/>
      <c r="D702" s="34"/>
      <c r="E702" s="34"/>
      <c r="F702" s="56"/>
      <c r="G702" s="34"/>
      <c r="H702" s="34"/>
      <c r="I702" s="57"/>
    </row>
    <row r="703" spans="1:9" ht="23.25" customHeight="1">
      <c r="A703" s="333">
        <v>2</v>
      </c>
      <c r="B703" s="333"/>
      <c r="C703" s="333"/>
      <c r="D703" s="333"/>
      <c r="E703" s="333"/>
      <c r="F703" s="333"/>
      <c r="G703" s="333"/>
      <c r="H703" s="333"/>
      <c r="I703" s="333"/>
    </row>
    <row r="704" spans="1:9" ht="23.25" customHeight="1">
      <c r="A704" s="350" t="s">
        <v>91</v>
      </c>
      <c r="B704" s="351"/>
      <c r="C704" s="352"/>
      <c r="D704" s="58"/>
      <c r="E704" s="58"/>
      <c r="F704" s="58"/>
      <c r="G704" s="58"/>
      <c r="H704" s="59" t="s">
        <v>86</v>
      </c>
      <c r="I704" s="60" t="s">
        <v>88</v>
      </c>
    </row>
    <row r="705" spans="1:9" ht="23.25" customHeight="1">
      <c r="A705" s="59" t="s">
        <v>39</v>
      </c>
      <c r="B705" s="59" t="s">
        <v>228</v>
      </c>
      <c r="C705" s="59" t="s">
        <v>85</v>
      </c>
      <c r="D705" s="353" t="s">
        <v>78</v>
      </c>
      <c r="E705" s="353"/>
      <c r="F705" s="353"/>
      <c r="G705" s="353"/>
      <c r="H705" s="62" t="s">
        <v>87</v>
      </c>
      <c r="I705" s="59" t="s">
        <v>85</v>
      </c>
    </row>
    <row r="706" spans="1:9" ht="23.25" customHeight="1">
      <c r="A706" s="64" t="s">
        <v>40</v>
      </c>
      <c r="B706" s="216" t="s">
        <v>229</v>
      </c>
      <c r="C706" s="64" t="s">
        <v>40</v>
      </c>
      <c r="D706" s="65"/>
      <c r="E706" s="65"/>
      <c r="F706" s="65"/>
      <c r="G706" s="65"/>
      <c r="H706" s="66"/>
      <c r="I706" s="64" t="s">
        <v>40</v>
      </c>
    </row>
    <row r="707" spans="1:9" ht="23.25" customHeight="1">
      <c r="A707" s="68"/>
      <c r="B707" s="68"/>
      <c r="C707" s="68"/>
      <c r="D707" s="69" t="s">
        <v>92</v>
      </c>
      <c r="E707" s="70"/>
      <c r="F707" s="70"/>
      <c r="G707" s="70"/>
      <c r="H707" s="71"/>
      <c r="I707" s="72"/>
    </row>
    <row r="708" spans="1:9" ht="23.25" customHeight="1">
      <c r="A708" s="73">
        <v>6761806</v>
      </c>
      <c r="B708" s="73"/>
      <c r="C708" s="73">
        <f>572455+479826+930683+589283+440683+440683+519583+439953</f>
        <v>4413149</v>
      </c>
      <c r="D708" s="70" t="s">
        <v>45</v>
      </c>
      <c r="F708" s="70"/>
      <c r="G708" s="70"/>
      <c r="H708" s="74">
        <v>510000</v>
      </c>
      <c r="I708" s="73">
        <f>439953</f>
        <v>439953</v>
      </c>
    </row>
    <row r="709" spans="1:9" ht="23.25" customHeight="1">
      <c r="A709" s="73">
        <v>2484720</v>
      </c>
      <c r="B709" s="73"/>
      <c r="C709" s="73">
        <f>I709+207060+207060+207060+207060+207060+207060+207060</f>
        <v>1656480</v>
      </c>
      <c r="D709" s="70" t="s">
        <v>135</v>
      </c>
      <c r="F709" s="70"/>
      <c r="G709" s="70"/>
      <c r="H709" s="74">
        <v>521000</v>
      </c>
      <c r="I709" s="75">
        <v>207060</v>
      </c>
    </row>
    <row r="710" spans="1:9" ht="23.25" customHeight="1">
      <c r="A710" s="73">
        <f>5864260-162420</f>
        <v>5701840</v>
      </c>
      <c r="B710" s="73"/>
      <c r="C710" s="73">
        <f>340780+340780+340780+341490+341040+341040+327204+317400</f>
        <v>2690514</v>
      </c>
      <c r="D710" s="70" t="s">
        <v>107</v>
      </c>
      <c r="F710" s="70"/>
      <c r="G710" s="70"/>
      <c r="H710" s="74">
        <v>522000</v>
      </c>
      <c r="I710" s="75">
        <v>317400</v>
      </c>
    </row>
    <row r="711" spans="1:9" ht="23.25" customHeight="1">
      <c r="A711" s="73">
        <v>162420</v>
      </c>
      <c r="B711" s="73"/>
      <c r="C711" s="73">
        <f>13310+13310+13310+13310+13310+13310+13760+13760</f>
        <v>107380</v>
      </c>
      <c r="D711" s="70" t="s">
        <v>93</v>
      </c>
      <c r="F711" s="70"/>
      <c r="G711" s="70"/>
      <c r="H711" s="74">
        <v>522000</v>
      </c>
      <c r="I711" s="75">
        <v>13760</v>
      </c>
    </row>
    <row r="712" spans="1:9" ht="23.25" customHeight="1">
      <c r="A712" s="73">
        <v>1938624</v>
      </c>
      <c r="B712" s="73"/>
      <c r="C712" s="73">
        <f>147075+137075+148475+148475+148475+148475+148475+159875</f>
        <v>1186400</v>
      </c>
      <c r="D712" s="70" t="s">
        <v>33</v>
      </c>
      <c r="F712" s="70"/>
      <c r="G712" s="70"/>
      <c r="H712" s="74">
        <v>522000</v>
      </c>
      <c r="I712" s="75">
        <v>159875</v>
      </c>
    </row>
    <row r="713" spans="1:9" ht="23.25" customHeight="1">
      <c r="A713" s="73">
        <v>895670</v>
      </c>
      <c r="B713" s="73"/>
      <c r="C713" s="73">
        <f>7400+15115+20000+9930+13000+20600+3200+18300</f>
        <v>107545</v>
      </c>
      <c r="D713" s="70" t="s">
        <v>80</v>
      </c>
      <c r="F713" s="70"/>
      <c r="G713" s="70"/>
      <c r="H713" s="74">
        <v>531000</v>
      </c>
      <c r="I713" s="75">
        <v>18300</v>
      </c>
    </row>
    <row r="714" spans="1:9" ht="23.25" customHeight="1">
      <c r="A714" s="73">
        <v>4175470</v>
      </c>
      <c r="B714" s="73"/>
      <c r="C714" s="73">
        <f>112050+193659.29-0.9+428958.85+220010+228739.5+532105+322037.36+194944.17</f>
        <v>2232503.27</v>
      </c>
      <c r="D714" s="70" t="s">
        <v>81</v>
      </c>
      <c r="F714" s="70"/>
      <c r="G714" s="70"/>
      <c r="H714" s="76">
        <v>532000</v>
      </c>
      <c r="I714" s="75">
        <v>194944.17</v>
      </c>
    </row>
    <row r="715" spans="1:9" ht="23.25" customHeight="1">
      <c r="A715" s="77">
        <v>1880550</v>
      </c>
      <c r="B715" s="77"/>
      <c r="C715" s="73">
        <f>90550+156574+221628.39+31381+149257+236143.88+51371</f>
        <v>936905.27</v>
      </c>
      <c r="D715" s="70" t="s">
        <v>83</v>
      </c>
      <c r="F715" s="70"/>
      <c r="G715" s="70"/>
      <c r="H715" s="76">
        <v>533000</v>
      </c>
      <c r="I715" s="75">
        <v>51371</v>
      </c>
    </row>
    <row r="716" spans="1:9" ht="23.25" customHeight="1">
      <c r="A716" s="77">
        <v>216000</v>
      </c>
      <c r="B716" s="77"/>
      <c r="C716" s="73">
        <f>3992.17+10529.38+15448.29+22732.73+7784.88+23091.81+244+19380.88</f>
        <v>103204.14</v>
      </c>
      <c r="D716" s="70" t="s">
        <v>34</v>
      </c>
      <c r="F716" s="70"/>
      <c r="G716" s="70"/>
      <c r="H716" s="76">
        <v>534000</v>
      </c>
      <c r="I716" s="75">
        <v>19380.88</v>
      </c>
    </row>
    <row r="717" spans="1:9" ht="23.25" customHeight="1">
      <c r="A717" s="77">
        <v>301900</v>
      </c>
      <c r="B717" s="77"/>
      <c r="C717" s="73">
        <f>72600+27000+14000+51500</f>
        <v>165100</v>
      </c>
      <c r="D717" s="70" t="s">
        <v>36</v>
      </c>
      <c r="F717" s="70"/>
      <c r="G717" s="70"/>
      <c r="H717" s="76">
        <v>541000</v>
      </c>
      <c r="I717" s="75">
        <v>51500</v>
      </c>
    </row>
    <row r="718" spans="1:9" ht="23.25" customHeight="1">
      <c r="A718" s="77">
        <v>2041000</v>
      </c>
      <c r="B718" s="77"/>
      <c r="C718" s="73">
        <f>I718</f>
        <v>201000</v>
      </c>
      <c r="D718" s="70" t="s">
        <v>37</v>
      </c>
      <c r="F718" s="70"/>
      <c r="G718" s="70"/>
      <c r="H718" s="76">
        <v>542000</v>
      </c>
      <c r="I718" s="75">
        <v>201000</v>
      </c>
    </row>
    <row r="719" spans="1:9" ht="23.25" customHeight="1">
      <c r="A719" s="77">
        <v>1090000</v>
      </c>
      <c r="B719" s="77"/>
      <c r="C719" s="73">
        <f>253000+20000+330522.47+28000+299049.26</f>
        <v>930571.73</v>
      </c>
      <c r="D719" s="70" t="s">
        <v>35</v>
      </c>
      <c r="F719" s="70"/>
      <c r="G719" s="70"/>
      <c r="H719" s="76">
        <v>560000</v>
      </c>
      <c r="I719" s="73">
        <v>299049.26</v>
      </c>
    </row>
    <row r="720" spans="1:9" ht="23.25" customHeight="1">
      <c r="A720" s="77"/>
      <c r="B720" s="77"/>
      <c r="C720" s="73">
        <f>I720</f>
        <v>0</v>
      </c>
      <c r="D720" s="70" t="s">
        <v>122</v>
      </c>
      <c r="F720" s="70"/>
      <c r="G720" s="70"/>
      <c r="H720" s="76">
        <v>550000</v>
      </c>
      <c r="I720" s="73">
        <v>0</v>
      </c>
    </row>
    <row r="721" spans="1:9" ht="23.25" customHeight="1" thickBot="1">
      <c r="A721" s="78">
        <f>SUM(A707:A720)</f>
        <v>27650000</v>
      </c>
      <c r="B721" s="78"/>
      <c r="C721" s="90">
        <f>SUM(C708:C720)</f>
        <v>14730752.41</v>
      </c>
      <c r="D721" s="70"/>
      <c r="E721" s="70"/>
      <c r="F721" s="70"/>
      <c r="G721" s="70"/>
      <c r="H721" s="76"/>
      <c r="I721" s="90">
        <f>SUM(I707:I720)</f>
        <v>1973593.3099999998</v>
      </c>
    </row>
    <row r="722" spans="1:9" ht="23.25" customHeight="1" thickTop="1">
      <c r="A722" s="80"/>
      <c r="B722" s="80"/>
      <c r="C722" s="73">
        <v>2566</v>
      </c>
      <c r="D722" s="70" t="s">
        <v>201</v>
      </c>
      <c r="E722" s="70"/>
      <c r="F722" s="70"/>
      <c r="G722" s="70"/>
      <c r="H722" s="76"/>
      <c r="I722" s="73"/>
    </row>
    <row r="723" spans="1:9" ht="23.25" customHeight="1">
      <c r="A723" s="80"/>
      <c r="B723" s="80"/>
      <c r="C723" s="73">
        <f>440600+564400+422000+429300+666000+422400+420300</f>
        <v>3365000</v>
      </c>
      <c r="D723" s="70" t="s">
        <v>352</v>
      </c>
      <c r="E723" s="70"/>
      <c r="F723" s="70"/>
      <c r="G723" s="70"/>
      <c r="H723" s="76"/>
      <c r="I723" s="73">
        <v>420300</v>
      </c>
    </row>
    <row r="724" spans="1:9" ht="23.25" customHeight="1">
      <c r="A724" s="83"/>
      <c r="B724" s="83"/>
      <c r="C724" s="73">
        <f>475000+253800+392500+17238.5+382500</f>
        <v>1521038.5</v>
      </c>
      <c r="D724" s="82" t="s">
        <v>18</v>
      </c>
      <c r="E724" s="34"/>
      <c r="F724" s="70"/>
      <c r="G724" s="70"/>
      <c r="H724" s="74"/>
      <c r="I724" s="73">
        <v>0</v>
      </c>
    </row>
    <row r="725" spans="1:9" ht="23.25" customHeight="1">
      <c r="A725" s="83"/>
      <c r="B725" s="83"/>
      <c r="C725" s="73">
        <f>166200+263450</f>
        <v>429650</v>
      </c>
      <c r="D725" s="82" t="s">
        <v>389</v>
      </c>
      <c r="E725" s="34"/>
      <c r="F725" s="70"/>
      <c r="G725" s="70"/>
      <c r="H725" s="74"/>
      <c r="I725" s="73">
        <v>0</v>
      </c>
    </row>
    <row r="726" spans="1:9" ht="23.25" customHeight="1">
      <c r="A726" s="81"/>
      <c r="B726" s="81"/>
      <c r="C726" s="73">
        <f>6988.19+5599.5+4923.02+13007.36+2976.64+3515.79+8965.37+4612.69</f>
        <v>50588.560000000005</v>
      </c>
      <c r="D726" s="82" t="s">
        <v>232</v>
      </c>
      <c r="E726" s="34"/>
      <c r="F726" s="70"/>
      <c r="G726" s="70"/>
      <c r="H726" s="74"/>
      <c r="I726" s="73">
        <v>4612.69</v>
      </c>
    </row>
    <row r="727" spans="1:9" ht="23.25" customHeight="1">
      <c r="A727" s="81"/>
      <c r="B727" s="81"/>
      <c r="C727" s="73">
        <v>2842.38</v>
      </c>
      <c r="D727" s="82" t="s">
        <v>407</v>
      </c>
      <c r="E727" s="34"/>
      <c r="F727" s="70"/>
      <c r="G727" s="70"/>
      <c r="H727" s="74"/>
      <c r="I727" s="73">
        <v>0</v>
      </c>
    </row>
    <row r="728" spans="1:9" ht="23.25" customHeight="1">
      <c r="A728" s="81"/>
      <c r="B728" s="81"/>
      <c r="C728" s="73">
        <f>16050+9450+72845</f>
        <v>98345</v>
      </c>
      <c r="D728" s="34" t="s">
        <v>237</v>
      </c>
      <c r="F728" s="70"/>
      <c r="G728" s="70"/>
      <c r="H728" s="76">
        <v>300000</v>
      </c>
      <c r="I728" s="73">
        <v>72845</v>
      </c>
    </row>
    <row r="729" spans="1:9" ht="23.25" customHeight="1">
      <c r="A729" s="81"/>
      <c r="B729" s="81"/>
      <c r="C729" s="73">
        <f>13926+7283+7283+7283+7283+7283+7853</f>
        <v>58194</v>
      </c>
      <c r="D729" s="82" t="s">
        <v>238</v>
      </c>
      <c r="E729" s="45"/>
      <c r="F729" s="70"/>
      <c r="G729" s="70"/>
      <c r="H729" s="74">
        <v>230000</v>
      </c>
      <c r="I729" s="73">
        <v>7853</v>
      </c>
    </row>
    <row r="730" spans="1:9" ht="23.25" customHeight="1">
      <c r="A730" s="81"/>
      <c r="B730" s="81"/>
      <c r="C730" s="73">
        <v>100000</v>
      </c>
      <c r="D730" s="82" t="s">
        <v>77</v>
      </c>
      <c r="E730" s="45"/>
      <c r="F730" s="70"/>
      <c r="G730" s="70"/>
      <c r="H730" s="74">
        <v>110605</v>
      </c>
      <c r="I730" s="73"/>
    </row>
    <row r="731" spans="1:9" ht="23.25" customHeight="1">
      <c r="A731" s="81"/>
      <c r="B731" s="81"/>
      <c r="C731" s="77">
        <f>29388+51250+29187+29374+36674+35572+31572+31800</f>
        <v>274817</v>
      </c>
      <c r="D731" s="213" t="s">
        <v>239</v>
      </c>
      <c r="E731" s="45"/>
      <c r="F731" s="34"/>
      <c r="G731" s="34"/>
      <c r="H731" s="214"/>
      <c r="I731" s="47">
        <v>31800</v>
      </c>
    </row>
    <row r="732" spans="1:9" ht="23.25" customHeight="1">
      <c r="A732" s="81"/>
      <c r="B732" s="81"/>
      <c r="C732" s="77">
        <f>63100+63100+63100+57400+46000+43000+31700+31700</f>
        <v>399100</v>
      </c>
      <c r="D732" s="213" t="s">
        <v>240</v>
      </c>
      <c r="E732" s="45"/>
      <c r="F732" s="34"/>
      <c r="G732" s="34"/>
      <c r="H732" s="214"/>
      <c r="I732" s="47">
        <v>31700</v>
      </c>
    </row>
    <row r="733" spans="1:9" ht="23.25" customHeight="1">
      <c r="A733" s="81"/>
      <c r="B733" s="81"/>
      <c r="C733" s="77">
        <f>81086+54466+78186+74435+74435+67877+64788+38168</f>
        <v>533441</v>
      </c>
      <c r="D733" s="213" t="s">
        <v>241</v>
      </c>
      <c r="E733" s="45"/>
      <c r="F733" s="34"/>
      <c r="G733" s="34"/>
      <c r="H733" s="214"/>
      <c r="I733" s="47">
        <v>38168</v>
      </c>
    </row>
    <row r="734" spans="1:9" ht="23.25" customHeight="1">
      <c r="A734" s="81"/>
      <c r="B734" s="81"/>
      <c r="C734" s="77">
        <f>22027+22027+27315+27212+27351+25651+29045+29104</f>
        <v>209732</v>
      </c>
      <c r="D734" s="213" t="s">
        <v>242</v>
      </c>
      <c r="E734" s="45"/>
      <c r="F734" s="34"/>
      <c r="G734" s="34"/>
      <c r="H734" s="214"/>
      <c r="I734" s="47">
        <v>29104</v>
      </c>
    </row>
    <row r="735" spans="1:9" ht="23.25" customHeight="1">
      <c r="A735" s="81"/>
      <c r="B735" s="81"/>
      <c r="C735" s="73"/>
      <c r="D735" s="82"/>
      <c r="E735" s="45"/>
      <c r="F735" s="70"/>
      <c r="G735" s="70"/>
      <c r="H735" s="74"/>
      <c r="I735" s="73"/>
    </row>
    <row r="736" spans="1:9" ht="23.25" customHeight="1">
      <c r="A736" s="85"/>
      <c r="B736" s="85"/>
      <c r="C736" s="86">
        <f>SUM(C722:C735)</f>
        <v>7045314.4399999995</v>
      </c>
      <c r="D736" s="82"/>
      <c r="E736" s="45"/>
      <c r="F736" s="70"/>
      <c r="G736" s="70"/>
      <c r="H736" s="87"/>
      <c r="I736" s="88">
        <f>SUM(I722:I735)</f>
        <v>636382.69</v>
      </c>
    </row>
    <row r="737" spans="1:9" ht="23.25" customHeight="1" thickBot="1">
      <c r="A737" s="89">
        <f>SUM(A721)</f>
        <v>27650000</v>
      </c>
      <c r="B737" s="89"/>
      <c r="C737" s="90">
        <f>SUM(C721+C736)</f>
        <v>21776066.85</v>
      </c>
      <c r="D737" s="333" t="s">
        <v>94</v>
      </c>
      <c r="E737" s="333"/>
      <c r="F737" s="333"/>
      <c r="G737" s="333"/>
      <c r="H737" s="34"/>
      <c r="I737" s="90">
        <f>SUM(I721+I736)</f>
        <v>2609976</v>
      </c>
    </row>
    <row r="738" spans="1:9" ht="23.25" customHeight="1" thickTop="1">
      <c r="A738" s="70"/>
      <c r="B738" s="70"/>
      <c r="C738" s="68"/>
      <c r="D738" s="333" t="s">
        <v>95</v>
      </c>
      <c r="E738" s="333"/>
      <c r="F738" s="333"/>
      <c r="G738" s="333"/>
      <c r="H738" s="70"/>
      <c r="I738" s="91"/>
    </row>
    <row r="739" spans="1:9" ht="23.25" customHeight="1">
      <c r="A739" s="70"/>
      <c r="B739" s="70"/>
      <c r="C739" s="68"/>
      <c r="D739" s="333" t="s">
        <v>96</v>
      </c>
      <c r="E739" s="333"/>
      <c r="F739" s="333"/>
      <c r="G739" s="333"/>
      <c r="H739" s="70"/>
      <c r="I739" s="91"/>
    </row>
    <row r="740" spans="1:9" ht="23.25" customHeight="1">
      <c r="A740" s="69"/>
      <c r="B740" s="69"/>
      <c r="C740" s="92">
        <f>C689-C737</f>
        <v>1322014.1899999976</v>
      </c>
      <c r="D740" s="348" t="s">
        <v>98</v>
      </c>
      <c r="E740" s="348"/>
      <c r="F740" s="348"/>
      <c r="G740" s="348"/>
      <c r="H740" s="69"/>
      <c r="I740" s="92">
        <f>I689-I737</f>
        <v>47367.200000000186</v>
      </c>
    </row>
    <row r="741" spans="1:9" ht="23.25" customHeight="1">
      <c r="A741" s="69"/>
      <c r="B741" s="69"/>
      <c r="C741" s="95">
        <f>SUM(C662+C689-C737)</f>
        <v>12613940.68</v>
      </c>
      <c r="D741" s="348" t="s">
        <v>97</v>
      </c>
      <c r="E741" s="348"/>
      <c r="F741" s="348"/>
      <c r="G741" s="348"/>
      <c r="H741" s="69"/>
      <c r="I741" s="95">
        <f>SUM(I662+I689-I737)</f>
        <v>12613940.68</v>
      </c>
    </row>
    <row r="742" spans="1:9" ht="23.25" customHeight="1">
      <c r="A742" s="69"/>
      <c r="B742" s="69"/>
      <c r="C742" s="217"/>
      <c r="D742" s="206"/>
      <c r="E742" s="206"/>
      <c r="F742" s="206"/>
      <c r="G742" s="206"/>
      <c r="H742" s="69"/>
      <c r="I742" s="217"/>
    </row>
    <row r="743" spans="1:9" ht="23.25" customHeight="1">
      <c r="A743" s="70"/>
      <c r="B743" s="70"/>
      <c r="C743" s="70"/>
      <c r="D743" s="70"/>
      <c r="E743" s="70"/>
      <c r="F743" s="70"/>
      <c r="G743" s="70"/>
      <c r="H743" s="70"/>
      <c r="I743" s="70"/>
    </row>
    <row r="744" spans="1:9" ht="23.25" customHeight="1">
      <c r="A744" s="349" t="s">
        <v>262</v>
      </c>
      <c r="B744" s="349"/>
      <c r="C744" s="349"/>
      <c r="D744" s="349" t="s">
        <v>263</v>
      </c>
      <c r="E744" s="349"/>
      <c r="F744" s="349"/>
      <c r="G744" s="349" t="s">
        <v>5</v>
      </c>
      <c r="H744" s="349"/>
      <c r="I744" s="349"/>
    </row>
    <row r="745" spans="1:9" ht="23.25" customHeight="1">
      <c r="A745" s="349" t="s">
        <v>430</v>
      </c>
      <c r="B745" s="349"/>
      <c r="C745" s="349"/>
      <c r="D745" s="333" t="s">
        <v>126</v>
      </c>
      <c r="E745" s="333"/>
      <c r="F745" s="333"/>
      <c r="G745" s="333" t="s">
        <v>264</v>
      </c>
      <c r="H745" s="333"/>
      <c r="I745" s="333"/>
    </row>
    <row r="746" spans="1:9" ht="23.25" customHeight="1">
      <c r="A746" s="346" t="s">
        <v>431</v>
      </c>
      <c r="B746" s="346"/>
      <c r="C746" s="346"/>
      <c r="D746" s="347" t="s">
        <v>127</v>
      </c>
      <c r="E746" s="347"/>
      <c r="F746" s="347"/>
      <c r="G746" s="347" t="s">
        <v>265</v>
      </c>
      <c r="H746" s="347"/>
      <c r="I746" s="347"/>
    </row>
    <row r="747" spans="1:6" ht="23.25" customHeight="1">
      <c r="A747" s="346" t="s">
        <v>261</v>
      </c>
      <c r="B747" s="346"/>
      <c r="C747" s="346"/>
      <c r="D747" s="97"/>
      <c r="E747" s="97"/>
      <c r="F747" s="97"/>
    </row>
    <row r="748" spans="1:6" ht="23.25" customHeight="1">
      <c r="A748" s="283"/>
      <c r="B748" s="283"/>
      <c r="C748" s="283"/>
      <c r="D748" s="97"/>
      <c r="E748" s="97"/>
      <c r="F748" s="97"/>
    </row>
    <row r="749" spans="1:6" ht="23.25" customHeight="1">
      <c r="A749" s="283"/>
      <c r="B749" s="283"/>
      <c r="C749" s="283"/>
      <c r="D749" s="97"/>
      <c r="E749" s="97"/>
      <c r="F749" s="97"/>
    </row>
    <row r="750" spans="1:9" ht="23.25" customHeight="1">
      <c r="A750" s="335" t="s">
        <v>132</v>
      </c>
      <c r="B750" s="335"/>
      <c r="C750" s="335"/>
      <c r="D750" s="335"/>
      <c r="E750" s="335"/>
      <c r="F750" s="335"/>
      <c r="G750" s="335"/>
      <c r="H750" s="335"/>
      <c r="I750" s="335"/>
    </row>
    <row r="751" spans="1:9" ht="23.25" customHeight="1">
      <c r="A751" s="348" t="s">
        <v>102</v>
      </c>
      <c r="B751" s="348"/>
      <c r="C751" s="348"/>
      <c r="D751" s="348"/>
      <c r="E751" s="348"/>
      <c r="F751" s="348"/>
      <c r="G751" s="348"/>
      <c r="H751" s="348"/>
      <c r="I751" s="348"/>
    </row>
    <row r="752" spans="1:9" ht="23.25" customHeight="1" thickBot="1">
      <c r="A752" s="206"/>
      <c r="B752" s="354" t="s">
        <v>488</v>
      </c>
      <c r="C752" s="354"/>
      <c r="D752" s="354"/>
      <c r="E752" s="354"/>
      <c r="F752" s="354"/>
      <c r="G752" s="354"/>
      <c r="H752" s="354"/>
      <c r="I752" s="206"/>
    </row>
    <row r="753" spans="1:9" ht="23.25" customHeight="1" thickBot="1">
      <c r="A753" s="355" t="s">
        <v>84</v>
      </c>
      <c r="B753" s="356"/>
      <c r="C753" s="357"/>
      <c r="D753" s="358" t="s">
        <v>78</v>
      </c>
      <c r="E753" s="359"/>
      <c r="F753" s="359"/>
      <c r="G753" s="360"/>
      <c r="H753" s="21" t="s">
        <v>86</v>
      </c>
      <c r="I753" s="22" t="s">
        <v>88</v>
      </c>
    </row>
    <row r="754" spans="1:9" ht="23.25" customHeight="1">
      <c r="A754" s="21" t="s">
        <v>39</v>
      </c>
      <c r="B754" s="21" t="s">
        <v>228</v>
      </c>
      <c r="C754" s="21" t="s">
        <v>85</v>
      </c>
      <c r="D754" s="361"/>
      <c r="E754" s="362"/>
      <c r="F754" s="362"/>
      <c r="G754" s="363"/>
      <c r="H754" s="23" t="s">
        <v>87</v>
      </c>
      <c r="I754" s="21" t="s">
        <v>85</v>
      </c>
    </row>
    <row r="755" spans="1:9" ht="23.25" customHeight="1" thickBot="1">
      <c r="A755" s="24" t="s">
        <v>40</v>
      </c>
      <c r="B755" s="212" t="s">
        <v>229</v>
      </c>
      <c r="C755" s="24" t="s">
        <v>40</v>
      </c>
      <c r="D755" s="364"/>
      <c r="E755" s="365"/>
      <c r="F755" s="365"/>
      <c r="G755" s="366"/>
      <c r="H755" s="25"/>
      <c r="I755" s="24" t="s">
        <v>40</v>
      </c>
    </row>
    <row r="756" spans="1:9" ht="23.25" customHeight="1">
      <c r="A756" s="26"/>
      <c r="B756" s="26"/>
      <c r="C756" s="27">
        <v>11291926.49</v>
      </c>
      <c r="D756" s="28" t="s">
        <v>99</v>
      </c>
      <c r="E756" s="29"/>
      <c r="F756" s="29"/>
      <c r="G756" s="30"/>
      <c r="H756" s="31"/>
      <c r="I756" s="205">
        <f>I741</f>
        <v>12613940.68</v>
      </c>
    </row>
    <row r="757" spans="1:9" ht="23.25" customHeight="1">
      <c r="A757" s="26"/>
      <c r="B757" s="26"/>
      <c r="C757" s="32"/>
      <c r="D757" s="33" t="s">
        <v>89</v>
      </c>
      <c r="E757" s="34"/>
      <c r="F757" s="34"/>
      <c r="G757" s="35"/>
      <c r="H757" s="37"/>
      <c r="I757" s="39"/>
    </row>
    <row r="758" spans="1:11" ht="23.25" customHeight="1">
      <c r="A758" s="36">
        <v>58000</v>
      </c>
      <c r="B758" s="36"/>
      <c r="C758" s="36">
        <f>11293.82+43012.69+6286.5+3896.84+6700.36+722.1</f>
        <v>71912.31000000001</v>
      </c>
      <c r="D758" s="37" t="s">
        <v>41</v>
      </c>
      <c r="E758" s="34"/>
      <c r="F758" s="34"/>
      <c r="G758" s="35"/>
      <c r="H758" s="38">
        <v>411000</v>
      </c>
      <c r="I758" s="39">
        <f>722.1</f>
        <v>722.1</v>
      </c>
      <c r="K758" s="51"/>
    </row>
    <row r="759" spans="1:11" ht="23.25" customHeight="1">
      <c r="A759" s="36">
        <v>26000</v>
      </c>
      <c r="B759" s="36"/>
      <c r="C759" s="36">
        <f>1636.4+2740+6047.6+500+1326.6+50+302+2847.6</f>
        <v>15450.2</v>
      </c>
      <c r="D759" s="37" t="s">
        <v>90</v>
      </c>
      <c r="E759" s="34"/>
      <c r="F759" s="34"/>
      <c r="G759" s="35"/>
      <c r="H759" s="38">
        <v>412000</v>
      </c>
      <c r="I759" s="36"/>
      <c r="K759" s="51"/>
    </row>
    <row r="760" spans="1:11" ht="23.25" customHeight="1">
      <c r="A760" s="36">
        <v>70000</v>
      </c>
      <c r="B760" s="36"/>
      <c r="C760" s="36">
        <v>23672.04</v>
      </c>
      <c r="D760" s="37" t="s">
        <v>42</v>
      </c>
      <c r="E760" s="34"/>
      <c r="F760" s="34"/>
      <c r="G760" s="35"/>
      <c r="H760" s="38">
        <v>413000</v>
      </c>
      <c r="I760" s="36"/>
      <c r="K760" s="51"/>
    </row>
    <row r="761" spans="1:11" ht="23.25" customHeight="1">
      <c r="A761" s="36">
        <v>41000</v>
      </c>
      <c r="B761" s="36"/>
      <c r="C761" s="36">
        <f>819.4+12550+100</f>
        <v>13469.4</v>
      </c>
      <c r="D761" s="37" t="s">
        <v>43</v>
      </c>
      <c r="E761" s="34"/>
      <c r="F761" s="34"/>
      <c r="G761" s="35"/>
      <c r="H761" s="38">
        <v>415000</v>
      </c>
      <c r="I761" s="39"/>
      <c r="K761" s="51"/>
    </row>
    <row r="762" spans="1:11" ht="23.25" customHeight="1">
      <c r="A762" s="36">
        <v>13150500</v>
      </c>
      <c r="B762" s="36"/>
      <c r="C762" s="36">
        <f>788344.77+1330617.03+1065104.85+446671.74+1157541.33+1874565.16+452109.7+1965434.07+1321720.05</f>
        <v>10402108.700000001</v>
      </c>
      <c r="D762" s="37" t="s">
        <v>44</v>
      </c>
      <c r="E762" s="34"/>
      <c r="F762" s="34"/>
      <c r="G762" s="35"/>
      <c r="H762" s="40">
        <v>420000</v>
      </c>
      <c r="I762" s="39">
        <f>791746.09+156024.29+5078.93+55289.99+148928.92+10938.47+113030+40683.36</f>
        <v>1321720.05</v>
      </c>
      <c r="K762" s="51"/>
    </row>
    <row r="763" spans="1:11" ht="23.25" customHeight="1">
      <c r="A763" s="36">
        <v>14304500</v>
      </c>
      <c r="B763" s="36"/>
      <c r="C763" s="36">
        <f>3261953+3161934+1819113+114000</f>
        <v>8357000</v>
      </c>
      <c r="D763" s="37" t="s">
        <v>101</v>
      </c>
      <c r="E763" s="34"/>
      <c r="F763" s="34"/>
      <c r="G763" s="35"/>
      <c r="H763" s="40">
        <v>430000</v>
      </c>
      <c r="I763" s="39">
        <v>114000</v>
      </c>
      <c r="K763" s="51"/>
    </row>
    <row r="764" spans="1:11" ht="23.25" customHeight="1" thickBot="1">
      <c r="A764" s="41">
        <f>SUM(A758:A763)</f>
        <v>27650000</v>
      </c>
      <c r="B764" s="41"/>
      <c r="C764" s="42">
        <f>SUM(C758:C763)</f>
        <v>18883612.65</v>
      </c>
      <c r="D764" s="37"/>
      <c r="E764" s="34"/>
      <c r="F764" s="34"/>
      <c r="G764" s="35"/>
      <c r="H764" s="40"/>
      <c r="I764" s="41">
        <f>SUM(I758:I763)</f>
        <v>1436442.1500000001</v>
      </c>
      <c r="K764" s="51"/>
    </row>
    <row r="765" spans="1:11" ht="23.25" customHeight="1" thickTop="1">
      <c r="A765" s="36"/>
      <c r="B765" s="36"/>
      <c r="C765" s="36">
        <v>2566</v>
      </c>
      <c r="D765" s="37" t="s">
        <v>231</v>
      </c>
      <c r="E765" s="34"/>
      <c r="F765" s="34"/>
      <c r="G765" s="35"/>
      <c r="H765" s="40">
        <v>110605</v>
      </c>
      <c r="I765" s="36"/>
      <c r="K765" s="51"/>
    </row>
    <row r="766" spans="1:11" ht="23.25" customHeight="1">
      <c r="A766" s="36"/>
      <c r="B766" s="36"/>
      <c r="C766" s="36">
        <f>440600+564400+422000+423200+672100+422400+420300+418600</f>
        <v>3783600</v>
      </c>
      <c r="D766" s="37" t="s">
        <v>103</v>
      </c>
      <c r="E766" s="34"/>
      <c r="F766" s="34"/>
      <c r="G766" s="35"/>
      <c r="H766" s="40"/>
      <c r="I766" s="36">
        <f>418600</f>
        <v>418600</v>
      </c>
      <c r="K766" s="51"/>
    </row>
    <row r="767" spans="1:11" ht="23.25" customHeight="1">
      <c r="A767" s="26"/>
      <c r="B767" s="26"/>
      <c r="C767" s="43">
        <f>5599.5+4923.02+13007.36+2976.64+3515.79+8965.37+4612.69+3671.78+2471.69</f>
        <v>49743.840000000004</v>
      </c>
      <c r="D767" s="44" t="s">
        <v>232</v>
      </c>
      <c r="E767" s="45"/>
      <c r="F767" s="34"/>
      <c r="G767" s="35"/>
      <c r="H767" s="40"/>
      <c r="I767" s="46">
        <v>2471.69</v>
      </c>
      <c r="K767" s="51"/>
    </row>
    <row r="768" spans="1:11" ht="23.25" customHeight="1">
      <c r="A768" s="26"/>
      <c r="B768" s="26"/>
      <c r="C768" s="43">
        <f>429650</f>
        <v>429650</v>
      </c>
      <c r="D768" s="44" t="s">
        <v>233</v>
      </c>
      <c r="E768" s="45"/>
      <c r="F768" s="34"/>
      <c r="G768" s="47"/>
      <c r="H768" s="40"/>
      <c r="I768" s="48"/>
      <c r="K768" s="51"/>
    </row>
    <row r="769" spans="1:11" ht="23.25" customHeight="1">
      <c r="A769" s="26"/>
      <c r="B769" s="26"/>
      <c r="C769" s="43">
        <f>7213+6713+7283+7283+7283+7283+7283+7853+7853</f>
        <v>66047</v>
      </c>
      <c r="D769" s="44" t="s">
        <v>234</v>
      </c>
      <c r="E769" s="45"/>
      <c r="F769" s="34"/>
      <c r="G769" s="35"/>
      <c r="H769" s="49"/>
      <c r="I769" s="48">
        <v>7853</v>
      </c>
      <c r="K769" s="51"/>
    </row>
    <row r="770" spans="1:11" ht="23.25" customHeight="1">
      <c r="A770" s="26"/>
      <c r="B770" s="26"/>
      <c r="C770" s="43">
        <f>C676+46.15</f>
        <v>2704.9399999999996</v>
      </c>
      <c r="D770" s="82" t="s">
        <v>407</v>
      </c>
      <c r="E770" s="45"/>
      <c r="F770" s="34"/>
      <c r="G770" s="35"/>
      <c r="H770" s="49"/>
      <c r="I770" s="48">
        <v>46.15</v>
      </c>
      <c r="K770" s="51"/>
    </row>
    <row r="771" spans="1:11" ht="23.25" customHeight="1">
      <c r="A771" s="26"/>
      <c r="B771" s="26"/>
      <c r="C771" s="43">
        <f>320000</f>
        <v>320000</v>
      </c>
      <c r="D771" s="82" t="s">
        <v>351</v>
      </c>
      <c r="E771" s="45"/>
      <c r="F771" s="34"/>
      <c r="G771" s="35"/>
      <c r="H771" s="49"/>
      <c r="I771" s="48">
        <f>320000</f>
        <v>320000</v>
      </c>
      <c r="K771" s="51"/>
    </row>
    <row r="772" spans="1:11" ht="23.25" customHeight="1">
      <c r="A772" s="26"/>
      <c r="B772" s="26"/>
      <c r="C772" s="43">
        <v>4.07</v>
      </c>
      <c r="D772" s="13" t="s">
        <v>173</v>
      </c>
      <c r="E772" s="45"/>
      <c r="F772" s="34"/>
      <c r="G772" s="35"/>
      <c r="H772" s="49"/>
      <c r="I772" s="48"/>
      <c r="K772" s="51"/>
    </row>
    <row r="773" spans="1:11" ht="23.25" customHeight="1">
      <c r="A773" s="26"/>
      <c r="B773" s="26"/>
      <c r="C773" s="43">
        <f>C678+680000</f>
        <v>880468.4299999999</v>
      </c>
      <c r="D773" s="44" t="s">
        <v>235</v>
      </c>
      <c r="E773" s="45"/>
      <c r="F773" s="34"/>
      <c r="G773" s="35"/>
      <c r="H773" s="40"/>
      <c r="I773" s="48">
        <v>680000</v>
      </c>
      <c r="K773" s="51"/>
    </row>
    <row r="774" spans="1:11" ht="23.25" customHeight="1">
      <c r="A774" s="26"/>
      <c r="B774" s="26"/>
      <c r="C774" s="43">
        <f>24450+13875+8450+11600+19625+12275</f>
        <v>90275</v>
      </c>
      <c r="D774" s="44" t="s">
        <v>236</v>
      </c>
      <c r="E774" s="45"/>
      <c r="F774" s="34"/>
      <c r="G774" s="35"/>
      <c r="H774" s="40"/>
      <c r="I774" s="48">
        <v>12275</v>
      </c>
      <c r="K774" s="51"/>
    </row>
    <row r="775" spans="1:11" ht="23.25" customHeight="1">
      <c r="A775" s="26"/>
      <c r="B775" s="26"/>
      <c r="C775" s="43">
        <f>29388+51250+29187+29374+36674+35572+31572+31800+30900</f>
        <v>305717</v>
      </c>
      <c r="D775" s="44" t="s">
        <v>239</v>
      </c>
      <c r="E775" s="45"/>
      <c r="F775" s="34"/>
      <c r="G775" s="35"/>
      <c r="H775" s="40"/>
      <c r="I775" s="48">
        <v>30900</v>
      </c>
      <c r="K775" s="51"/>
    </row>
    <row r="776" spans="1:11" ht="23.25" customHeight="1">
      <c r="A776" s="26"/>
      <c r="B776" s="26"/>
      <c r="C776" s="43">
        <f>63100+63100+63100+57400+46000+43000+31700+31700+36700</f>
        <v>435800</v>
      </c>
      <c r="D776" s="44" t="s">
        <v>240</v>
      </c>
      <c r="E776" s="45"/>
      <c r="F776" s="34"/>
      <c r="G776" s="34"/>
      <c r="H776" s="40"/>
      <c r="I776" s="47">
        <v>36700</v>
      </c>
      <c r="K776" s="51"/>
    </row>
    <row r="777" spans="1:11" ht="23.25" customHeight="1">
      <c r="A777" s="26"/>
      <c r="B777" s="26"/>
      <c r="C777" s="43">
        <f>81086+54466+78186+74435+74435+67877+64788+38168+64788</f>
        <v>598229</v>
      </c>
      <c r="D777" s="44" t="s">
        <v>241</v>
      </c>
      <c r="E777" s="45"/>
      <c r="F777" s="34"/>
      <c r="G777" s="34"/>
      <c r="H777" s="40"/>
      <c r="I777" s="47">
        <v>64788</v>
      </c>
      <c r="K777" s="51"/>
    </row>
    <row r="778" spans="1:11" ht="23.25" customHeight="1">
      <c r="A778" s="26"/>
      <c r="B778" s="26"/>
      <c r="C778" s="43">
        <f>22027+22027+27315+27212+27351+25651+29045+29104+28521</f>
        <v>238253</v>
      </c>
      <c r="D778" s="44" t="s">
        <v>242</v>
      </c>
      <c r="E778" s="45"/>
      <c r="F778" s="34"/>
      <c r="G778" s="34"/>
      <c r="H778" s="40"/>
      <c r="I778" s="47">
        <v>28521</v>
      </c>
      <c r="K778" s="51"/>
    </row>
    <row r="779" spans="1:11" ht="23.25" customHeight="1">
      <c r="A779" s="26"/>
      <c r="B779" s="26"/>
      <c r="C779" s="43">
        <v>50000</v>
      </c>
      <c r="D779" s="155" t="s">
        <v>428</v>
      </c>
      <c r="E779" s="45"/>
      <c r="F779" s="34"/>
      <c r="G779" s="34"/>
      <c r="H779" s="40"/>
      <c r="I779" s="47"/>
      <c r="K779" s="51"/>
    </row>
    <row r="780" spans="1:11" ht="23.25" customHeight="1">
      <c r="A780" s="26"/>
      <c r="B780" s="26"/>
      <c r="C780" s="43"/>
      <c r="D780" s="156" t="s">
        <v>429</v>
      </c>
      <c r="E780" s="45"/>
      <c r="F780" s="34"/>
      <c r="G780" s="34"/>
      <c r="H780" s="40"/>
      <c r="I780" s="47"/>
      <c r="K780" s="51"/>
    </row>
    <row r="781" spans="1:11" ht="23.25" customHeight="1">
      <c r="A781" s="26"/>
      <c r="B781" s="26"/>
      <c r="C781" s="43">
        <v>7.1</v>
      </c>
      <c r="D781" s="44" t="s">
        <v>38</v>
      </c>
      <c r="E781" s="45"/>
      <c r="F781" s="34"/>
      <c r="G781" s="34"/>
      <c r="H781" s="40"/>
      <c r="I781" s="47"/>
      <c r="K781" s="51"/>
    </row>
    <row r="782" spans="1:11" ht="23.25" customHeight="1">
      <c r="A782" s="26"/>
      <c r="B782" s="26"/>
      <c r="C782" s="43"/>
      <c r="D782" s="44"/>
      <c r="E782" s="45"/>
      <c r="F782" s="34"/>
      <c r="G782" s="34"/>
      <c r="H782" s="40"/>
      <c r="I782" s="47"/>
      <c r="K782" s="51"/>
    </row>
    <row r="783" spans="1:11" ht="23.25" customHeight="1" thickBot="1">
      <c r="A783" s="26"/>
      <c r="B783" s="26"/>
      <c r="C783" s="52">
        <f>SUM(C765:C782)</f>
        <v>7253065.38</v>
      </c>
      <c r="D783" s="37"/>
      <c r="E783" s="34"/>
      <c r="F783" s="34"/>
      <c r="G783" s="34"/>
      <c r="H783" s="35"/>
      <c r="I783" s="54">
        <f>SUM(I765:I781)</f>
        <v>1602154.84</v>
      </c>
      <c r="K783" s="51"/>
    </row>
    <row r="784" spans="1:11" ht="23.25" customHeight="1" thickBot="1">
      <c r="A784" s="55">
        <f>SUM(A764)</f>
        <v>27650000</v>
      </c>
      <c r="B784" s="211"/>
      <c r="C784" s="41">
        <f>SUM(C764+C783)</f>
        <v>26136678.029999997</v>
      </c>
      <c r="D784" s="37"/>
      <c r="E784" s="34"/>
      <c r="F784" s="56" t="s">
        <v>106</v>
      </c>
      <c r="G784" s="34"/>
      <c r="H784" s="35"/>
      <c r="I784" s="41">
        <f>SUM(I764+I783)</f>
        <v>3038596.99</v>
      </c>
      <c r="K784" s="51"/>
    </row>
    <row r="785" spans="1:11" ht="23.25" customHeight="1">
      <c r="A785" s="57"/>
      <c r="B785" s="57"/>
      <c r="C785" s="57"/>
      <c r="D785" s="34"/>
      <c r="E785" s="34"/>
      <c r="F785" s="56"/>
      <c r="G785" s="34"/>
      <c r="H785" s="34"/>
      <c r="I785" s="57"/>
      <c r="K785" s="51"/>
    </row>
    <row r="786" spans="1:11" ht="23.25" customHeight="1">
      <c r="A786" s="57"/>
      <c r="B786" s="57"/>
      <c r="C786" s="57"/>
      <c r="D786" s="34"/>
      <c r="E786" s="34"/>
      <c r="F786" s="56"/>
      <c r="G786" s="34"/>
      <c r="H786" s="34"/>
      <c r="I786" s="57"/>
      <c r="K786" s="51"/>
    </row>
    <row r="787" spans="1:11" ht="23.25" customHeight="1">
      <c r="A787" s="57"/>
      <c r="B787" s="57"/>
      <c r="C787" s="57"/>
      <c r="D787" s="34"/>
      <c r="E787" s="34"/>
      <c r="F787" s="56"/>
      <c r="G787" s="34"/>
      <c r="H787" s="34"/>
      <c r="I787" s="57"/>
      <c r="K787" s="51"/>
    </row>
    <row r="788" spans="1:11" ht="23.25" customHeight="1">
      <c r="A788" s="57"/>
      <c r="B788" s="57"/>
      <c r="C788" s="57"/>
      <c r="D788" s="34"/>
      <c r="E788" s="34"/>
      <c r="F788" s="56"/>
      <c r="G788" s="34"/>
      <c r="H788" s="34"/>
      <c r="I788" s="57"/>
      <c r="K788" s="51"/>
    </row>
    <row r="789" spans="1:11" ht="23.25" customHeight="1">
      <c r="A789" s="57"/>
      <c r="B789" s="57"/>
      <c r="C789" s="57"/>
      <c r="D789" s="34"/>
      <c r="E789" s="34"/>
      <c r="F789" s="56"/>
      <c r="G789" s="34"/>
      <c r="H789" s="34"/>
      <c r="I789" s="57"/>
      <c r="K789" s="51"/>
    </row>
    <row r="790" spans="1:11" ht="23.25" customHeight="1">
      <c r="A790" s="57"/>
      <c r="B790" s="57"/>
      <c r="C790" s="57"/>
      <c r="D790" s="34"/>
      <c r="E790" s="34"/>
      <c r="F790" s="56"/>
      <c r="G790" s="34"/>
      <c r="H790" s="34"/>
      <c r="I790" s="57"/>
      <c r="K790" s="51"/>
    </row>
    <row r="791" spans="1:11" ht="23.25" customHeight="1">
      <c r="A791" s="57"/>
      <c r="B791" s="57"/>
      <c r="C791" s="57"/>
      <c r="D791" s="34"/>
      <c r="E791" s="34"/>
      <c r="F791" s="56"/>
      <c r="G791" s="34"/>
      <c r="H791" s="34"/>
      <c r="I791" s="57"/>
      <c r="K791" s="51"/>
    </row>
    <row r="792" spans="1:11" ht="23.25" customHeight="1">
      <c r="A792" s="57"/>
      <c r="B792" s="57"/>
      <c r="C792" s="57"/>
      <c r="D792" s="34"/>
      <c r="E792" s="34"/>
      <c r="F792" s="56"/>
      <c r="G792" s="34"/>
      <c r="H792" s="34"/>
      <c r="I792" s="57"/>
      <c r="K792" s="51"/>
    </row>
    <row r="793" spans="1:11" ht="23.25" customHeight="1">
      <c r="A793" s="57"/>
      <c r="B793" s="57"/>
      <c r="C793" s="57"/>
      <c r="D793" s="34"/>
      <c r="E793" s="34"/>
      <c r="F793" s="56"/>
      <c r="G793" s="34"/>
      <c r="H793" s="34"/>
      <c r="I793" s="57"/>
      <c r="K793" s="51"/>
    </row>
    <row r="794" spans="1:11" ht="23.25" customHeight="1">
      <c r="A794" s="57"/>
      <c r="B794" s="57"/>
      <c r="C794" s="57"/>
      <c r="D794" s="34"/>
      <c r="E794" s="34"/>
      <c r="F794" s="56"/>
      <c r="G794" s="34"/>
      <c r="H794" s="34"/>
      <c r="I794" s="57"/>
      <c r="K794" s="51"/>
    </row>
    <row r="795" spans="1:11" ht="23.25" customHeight="1">
      <c r="A795" s="57"/>
      <c r="B795" s="57"/>
      <c r="C795" s="57"/>
      <c r="D795" s="34"/>
      <c r="E795" s="34"/>
      <c r="F795" s="56"/>
      <c r="G795" s="34"/>
      <c r="H795" s="34"/>
      <c r="I795" s="57"/>
      <c r="K795" s="51"/>
    </row>
    <row r="796" spans="1:11" ht="23.25" customHeight="1">
      <c r="A796" s="57"/>
      <c r="B796" s="57"/>
      <c r="C796" s="57"/>
      <c r="D796" s="34"/>
      <c r="E796" s="34"/>
      <c r="F796" s="56"/>
      <c r="G796" s="34"/>
      <c r="H796" s="34"/>
      <c r="I796" s="57"/>
      <c r="K796" s="51"/>
    </row>
    <row r="797" spans="1:11" ht="23.25" customHeight="1">
      <c r="A797" s="57"/>
      <c r="B797" s="57"/>
      <c r="C797" s="57"/>
      <c r="D797" s="34"/>
      <c r="E797" s="34"/>
      <c r="F797" s="56"/>
      <c r="G797" s="34"/>
      <c r="H797" s="34"/>
      <c r="I797" s="57"/>
      <c r="K797" s="51"/>
    </row>
    <row r="798" spans="1:11" ht="23.25" customHeight="1">
      <c r="A798" s="333">
        <v>2</v>
      </c>
      <c r="B798" s="333"/>
      <c r="C798" s="333"/>
      <c r="D798" s="333"/>
      <c r="E798" s="333"/>
      <c r="F798" s="333"/>
      <c r="G798" s="333"/>
      <c r="H798" s="333"/>
      <c r="I798" s="333"/>
      <c r="K798" s="51"/>
    </row>
    <row r="799" spans="1:11" ht="23.25" customHeight="1">
      <c r="A799" s="350" t="s">
        <v>91</v>
      </c>
      <c r="B799" s="351"/>
      <c r="C799" s="352"/>
      <c r="D799" s="58"/>
      <c r="E799" s="58"/>
      <c r="F799" s="58"/>
      <c r="G799" s="58"/>
      <c r="H799" s="59" t="s">
        <v>86</v>
      </c>
      <c r="I799" s="60" t="s">
        <v>88</v>
      </c>
      <c r="K799" s="51"/>
    </row>
    <row r="800" spans="1:11" ht="23.25" customHeight="1">
      <c r="A800" s="59" t="s">
        <v>39</v>
      </c>
      <c r="B800" s="59" t="s">
        <v>228</v>
      </c>
      <c r="C800" s="59" t="s">
        <v>85</v>
      </c>
      <c r="D800" s="353" t="s">
        <v>78</v>
      </c>
      <c r="E800" s="353"/>
      <c r="F800" s="353"/>
      <c r="G800" s="353"/>
      <c r="H800" s="62" t="s">
        <v>87</v>
      </c>
      <c r="I800" s="59" t="s">
        <v>85</v>
      </c>
      <c r="K800" s="51"/>
    </row>
    <row r="801" spans="1:11" ht="23.25" customHeight="1">
      <c r="A801" s="64" t="s">
        <v>40</v>
      </c>
      <c r="B801" s="216" t="s">
        <v>229</v>
      </c>
      <c r="C801" s="64" t="s">
        <v>40</v>
      </c>
      <c r="D801" s="65"/>
      <c r="E801" s="65"/>
      <c r="F801" s="65"/>
      <c r="G801" s="65"/>
      <c r="H801" s="66"/>
      <c r="I801" s="64" t="s">
        <v>40</v>
      </c>
      <c r="K801" s="51"/>
    </row>
    <row r="802" spans="1:11" ht="23.25" customHeight="1">
      <c r="A802" s="68"/>
      <c r="B802" s="68"/>
      <c r="C802" s="68"/>
      <c r="D802" s="69" t="s">
        <v>92</v>
      </c>
      <c r="E802" s="70"/>
      <c r="F802" s="70"/>
      <c r="G802" s="70"/>
      <c r="H802" s="71"/>
      <c r="I802" s="72"/>
      <c r="K802" s="51"/>
    </row>
    <row r="803" spans="1:11" ht="23.25" customHeight="1">
      <c r="A803" s="73">
        <v>6761806</v>
      </c>
      <c r="B803" s="73"/>
      <c r="C803" s="73">
        <f>572455+479826+930683+589283+440683+440683+519583+439953+440453</f>
        <v>4853602</v>
      </c>
      <c r="D803" s="70" t="s">
        <v>45</v>
      </c>
      <c r="F803" s="70"/>
      <c r="G803" s="70"/>
      <c r="H803" s="74">
        <v>510000</v>
      </c>
      <c r="I803" s="73">
        <f>21853+418600</f>
        <v>440453</v>
      </c>
      <c r="K803" s="51"/>
    </row>
    <row r="804" spans="1:11" ht="23.25" customHeight="1">
      <c r="A804" s="73">
        <v>2484720</v>
      </c>
      <c r="B804" s="73"/>
      <c r="C804" s="73">
        <f>I804+207060+207060+207060+207060+207060+207060+207060+207060</f>
        <v>1863540</v>
      </c>
      <c r="D804" s="70" t="s">
        <v>135</v>
      </c>
      <c r="F804" s="70"/>
      <c r="G804" s="70"/>
      <c r="H804" s="74">
        <v>521000</v>
      </c>
      <c r="I804" s="75">
        <v>207060</v>
      </c>
      <c r="K804" s="51"/>
    </row>
    <row r="805" spans="1:11" ht="23.25" customHeight="1">
      <c r="A805" s="73">
        <f>5864260-162420</f>
        <v>5701840</v>
      </c>
      <c r="B805" s="73"/>
      <c r="C805" s="73">
        <f>340780+340780+340780+341490+341040+341040+327204+317400+317090</f>
        <v>3007604</v>
      </c>
      <c r="D805" s="70" t="s">
        <v>107</v>
      </c>
      <c r="F805" s="70"/>
      <c r="G805" s="70"/>
      <c r="H805" s="74">
        <v>522000</v>
      </c>
      <c r="I805" s="75">
        <v>317090</v>
      </c>
      <c r="K805" s="51"/>
    </row>
    <row r="806" spans="1:11" ht="23.25" customHeight="1">
      <c r="A806" s="73">
        <v>162420</v>
      </c>
      <c r="B806" s="73"/>
      <c r="C806" s="73">
        <f>13310+13310+13310+13310+13310+13310+13760+13760+13760</f>
        <v>121140</v>
      </c>
      <c r="D806" s="70" t="s">
        <v>93</v>
      </c>
      <c r="F806" s="70"/>
      <c r="G806" s="70"/>
      <c r="H806" s="74">
        <v>522000</v>
      </c>
      <c r="I806" s="75">
        <v>13760</v>
      </c>
      <c r="K806" s="51"/>
    </row>
    <row r="807" spans="1:11" ht="23.25" customHeight="1">
      <c r="A807" s="73">
        <v>1938624</v>
      </c>
      <c r="B807" s="73"/>
      <c r="C807" s="73">
        <f>147075+137075+148475+148475+148475+148475+148475+159875+159875</f>
        <v>1346275</v>
      </c>
      <c r="D807" s="70" t="s">
        <v>33</v>
      </c>
      <c r="F807" s="70"/>
      <c r="G807" s="70"/>
      <c r="H807" s="74">
        <v>522000</v>
      </c>
      <c r="I807" s="75">
        <v>159875</v>
      </c>
      <c r="K807" s="51"/>
    </row>
    <row r="808" spans="1:11" ht="23.25" customHeight="1">
      <c r="A808" s="73">
        <v>895670</v>
      </c>
      <c r="B808" s="73"/>
      <c r="C808" s="73">
        <f>7400+15115+20000+9930+13000+20600+3200+18300+10843.5</f>
        <v>118388.5</v>
      </c>
      <c r="D808" s="70" t="s">
        <v>80</v>
      </c>
      <c r="F808" s="70"/>
      <c r="G808" s="70"/>
      <c r="H808" s="74">
        <v>531000</v>
      </c>
      <c r="I808" s="75">
        <v>10843.5</v>
      </c>
      <c r="K808" s="51"/>
    </row>
    <row r="809" spans="1:11" ht="23.25" customHeight="1">
      <c r="A809" s="73">
        <v>4175470</v>
      </c>
      <c r="B809" s="73"/>
      <c r="C809" s="73">
        <f>112050+193659.29-0.9+428958.85+220010+228739.5+532105+322037.36+194944.17+339560</f>
        <v>2572063.27</v>
      </c>
      <c r="D809" s="70" t="s">
        <v>81</v>
      </c>
      <c r="F809" s="70"/>
      <c r="G809" s="70"/>
      <c r="H809" s="76">
        <v>532000</v>
      </c>
      <c r="I809" s="75">
        <v>339560</v>
      </c>
      <c r="K809" s="51"/>
    </row>
    <row r="810" spans="1:11" ht="23.25" customHeight="1">
      <c r="A810" s="77">
        <v>1880550</v>
      </c>
      <c r="B810" s="77"/>
      <c r="C810" s="73">
        <f>90550+156574+221628.39+31381+149257+236143.88+51371+70740</f>
        <v>1007645.27</v>
      </c>
      <c r="D810" s="70" t="s">
        <v>83</v>
      </c>
      <c r="F810" s="70"/>
      <c r="G810" s="70"/>
      <c r="H810" s="76">
        <v>533000</v>
      </c>
      <c r="I810" s="75">
        <v>70740</v>
      </c>
      <c r="K810" s="51"/>
    </row>
    <row r="811" spans="1:11" ht="23.25" customHeight="1">
      <c r="A811" s="77">
        <v>216000</v>
      </c>
      <c r="B811" s="77"/>
      <c r="C811" s="73">
        <f>3992.17+10529.38+15448.29+22732.73+7784.88+23091.81+244+19380.88+27919.25</f>
        <v>131123.39</v>
      </c>
      <c r="D811" s="70" t="s">
        <v>34</v>
      </c>
      <c r="F811" s="70"/>
      <c r="G811" s="70"/>
      <c r="H811" s="76">
        <v>534000</v>
      </c>
      <c r="I811" s="75">
        <v>27919.25</v>
      </c>
      <c r="K811" s="51"/>
    </row>
    <row r="812" spans="1:11" ht="23.25" customHeight="1">
      <c r="A812" s="77">
        <v>301900</v>
      </c>
      <c r="B812" s="77"/>
      <c r="C812" s="73">
        <f>72600+27000+14000+51500</f>
        <v>165100</v>
      </c>
      <c r="D812" s="70" t="s">
        <v>36</v>
      </c>
      <c r="F812" s="70"/>
      <c r="G812" s="70"/>
      <c r="H812" s="76">
        <v>541000</v>
      </c>
      <c r="I812" s="75"/>
      <c r="K812" s="51"/>
    </row>
    <row r="813" spans="1:11" ht="23.25" customHeight="1">
      <c r="A813" s="77">
        <v>2041000</v>
      </c>
      <c r="B813" s="77"/>
      <c r="C813" s="73">
        <v>201000</v>
      </c>
      <c r="D813" s="70" t="s">
        <v>37</v>
      </c>
      <c r="F813" s="70"/>
      <c r="G813" s="70"/>
      <c r="H813" s="76">
        <v>542000</v>
      </c>
      <c r="I813" s="75"/>
      <c r="K813" s="51"/>
    </row>
    <row r="814" spans="1:11" ht="23.25" customHeight="1">
      <c r="A814" s="77">
        <v>1090000</v>
      </c>
      <c r="B814" s="77"/>
      <c r="C814" s="73">
        <f>253000+20000+330522.47+28000+299049.26</f>
        <v>930571.73</v>
      </c>
      <c r="D814" s="70" t="s">
        <v>35</v>
      </c>
      <c r="F814" s="70"/>
      <c r="G814" s="70"/>
      <c r="H814" s="76">
        <v>560000</v>
      </c>
      <c r="I814" s="73"/>
      <c r="K814" s="51"/>
    </row>
    <row r="815" spans="1:11" ht="23.25" customHeight="1">
      <c r="A815" s="77"/>
      <c r="B815" s="77"/>
      <c r="C815" s="73">
        <f>I815</f>
        <v>0</v>
      </c>
      <c r="D815" s="70" t="s">
        <v>122</v>
      </c>
      <c r="F815" s="70"/>
      <c r="G815" s="70"/>
      <c r="H815" s="76">
        <v>550000</v>
      </c>
      <c r="I815" s="73">
        <v>0</v>
      </c>
      <c r="K815" s="51"/>
    </row>
    <row r="816" spans="1:11" ht="23.25" customHeight="1" thickBot="1">
      <c r="A816" s="78">
        <f>SUM(A802:A815)</f>
        <v>27650000</v>
      </c>
      <c r="B816" s="78"/>
      <c r="C816" s="90">
        <f>SUM(C803:C815)</f>
        <v>16318053.16</v>
      </c>
      <c r="D816" s="70"/>
      <c r="E816" s="70"/>
      <c r="F816" s="70"/>
      <c r="G816" s="70"/>
      <c r="H816" s="76"/>
      <c r="I816" s="90">
        <f>SUM(I802:I815)</f>
        <v>1587300.75</v>
      </c>
      <c r="K816" s="51"/>
    </row>
    <row r="817" spans="1:11" ht="23.25" customHeight="1" thickTop="1">
      <c r="A817" s="80"/>
      <c r="B817" s="80"/>
      <c r="C817" s="73">
        <v>2566</v>
      </c>
      <c r="D817" s="70" t="s">
        <v>201</v>
      </c>
      <c r="E817" s="70"/>
      <c r="F817" s="70"/>
      <c r="G817" s="70"/>
      <c r="H817" s="76"/>
      <c r="I817" s="73"/>
      <c r="K817" s="51"/>
    </row>
    <row r="818" spans="1:11" ht="23.25" customHeight="1">
      <c r="A818" s="80"/>
      <c r="B818" s="80"/>
      <c r="C818" s="73">
        <f>440600+564400+422000+429300+666000+422400+420300+418600</f>
        <v>3783600</v>
      </c>
      <c r="D818" s="70" t="s">
        <v>352</v>
      </c>
      <c r="E818" s="70"/>
      <c r="F818" s="70"/>
      <c r="G818" s="70"/>
      <c r="H818" s="76"/>
      <c r="I818" s="73">
        <f>420500-1900</f>
        <v>418600</v>
      </c>
      <c r="K818" s="51"/>
    </row>
    <row r="819" spans="1:11" ht="23.25" customHeight="1">
      <c r="A819" s="83"/>
      <c r="B819" s="83"/>
      <c r="C819" s="73">
        <f>475000+253800+392500+17238.5+382500</f>
        <v>1521038.5</v>
      </c>
      <c r="D819" s="82" t="s">
        <v>18</v>
      </c>
      <c r="E819" s="34"/>
      <c r="F819" s="70"/>
      <c r="G819" s="70"/>
      <c r="H819" s="74"/>
      <c r="I819" s="73"/>
      <c r="K819" s="51"/>
    </row>
    <row r="820" spans="1:11" ht="23.25" customHeight="1">
      <c r="A820" s="83"/>
      <c r="B820" s="83"/>
      <c r="C820" s="73">
        <f>166200+263450</f>
        <v>429650</v>
      </c>
      <c r="D820" s="82" t="s">
        <v>389</v>
      </c>
      <c r="E820" s="34"/>
      <c r="F820" s="70"/>
      <c r="G820" s="70"/>
      <c r="H820" s="74"/>
      <c r="I820" s="73"/>
      <c r="K820" s="51"/>
    </row>
    <row r="821" spans="1:11" ht="23.25" customHeight="1">
      <c r="A821" s="81"/>
      <c r="B821" s="81"/>
      <c r="C821" s="73">
        <f>6988.19+5599.5+4923.02+13007.36+2976.64+3515.79+8965.37+4612.69+3671.78</f>
        <v>54260.340000000004</v>
      </c>
      <c r="D821" s="82" t="s">
        <v>232</v>
      </c>
      <c r="E821" s="34"/>
      <c r="F821" s="70"/>
      <c r="G821" s="70"/>
      <c r="H821" s="74"/>
      <c r="I821" s="73">
        <v>3671.78</v>
      </c>
      <c r="K821" s="51"/>
    </row>
    <row r="822" spans="1:11" ht="23.25" customHeight="1">
      <c r="A822" s="81"/>
      <c r="B822" s="81"/>
      <c r="C822" s="73">
        <v>2842.38</v>
      </c>
      <c r="D822" s="82" t="s">
        <v>407</v>
      </c>
      <c r="E822" s="34"/>
      <c r="F822" s="70"/>
      <c r="G822" s="70"/>
      <c r="H822" s="74"/>
      <c r="I822" s="73"/>
      <c r="K822" s="51"/>
    </row>
    <row r="823" spans="1:11" ht="23.25" customHeight="1">
      <c r="A823" s="81"/>
      <c r="B823" s="81"/>
      <c r="C823" s="73">
        <f>16050+9450+72845+21250</f>
        <v>119595</v>
      </c>
      <c r="D823" s="34" t="s">
        <v>237</v>
      </c>
      <c r="F823" s="70"/>
      <c r="G823" s="70"/>
      <c r="H823" s="76">
        <v>300000</v>
      </c>
      <c r="I823" s="73">
        <v>21250</v>
      </c>
      <c r="K823" s="51"/>
    </row>
    <row r="824" spans="1:11" ht="23.25" customHeight="1">
      <c r="A824" s="81"/>
      <c r="B824" s="81"/>
      <c r="C824" s="73">
        <f>13926+7283+7283+7283+7283+7283+7853+7853</f>
        <v>66047</v>
      </c>
      <c r="D824" s="82" t="s">
        <v>238</v>
      </c>
      <c r="E824" s="45"/>
      <c r="F824" s="70"/>
      <c r="G824" s="70"/>
      <c r="H824" s="74">
        <v>230000</v>
      </c>
      <c r="I824" s="73">
        <v>7853</v>
      </c>
      <c r="K824" s="51"/>
    </row>
    <row r="825" spans="1:11" ht="23.25" customHeight="1">
      <c r="A825" s="81"/>
      <c r="B825" s="81"/>
      <c r="C825" s="73">
        <f>1180000</f>
        <v>1180000</v>
      </c>
      <c r="D825" s="82" t="s">
        <v>351</v>
      </c>
      <c r="E825" s="45"/>
      <c r="F825" s="70"/>
      <c r="G825" s="70"/>
      <c r="H825" s="74"/>
      <c r="I825" s="73">
        <f>500000+680000</f>
        <v>1180000</v>
      </c>
      <c r="K825" s="51"/>
    </row>
    <row r="826" spans="1:11" ht="23.25" customHeight="1">
      <c r="A826" s="81"/>
      <c r="B826" s="81"/>
      <c r="C826" s="73">
        <v>100000</v>
      </c>
      <c r="D826" s="82" t="s">
        <v>77</v>
      </c>
      <c r="E826" s="45"/>
      <c r="F826" s="70"/>
      <c r="G826" s="70"/>
      <c r="H826" s="74">
        <v>110605</v>
      </c>
      <c r="I826" s="73">
        <v>0</v>
      </c>
      <c r="K826" s="51"/>
    </row>
    <row r="827" spans="1:11" ht="23.25" customHeight="1">
      <c r="A827" s="81"/>
      <c r="B827" s="81"/>
      <c r="C827" s="77">
        <f>29388+51250+29187+29374+36674+35572+31572+31800+30900</f>
        <v>305717</v>
      </c>
      <c r="D827" s="213" t="s">
        <v>239</v>
      </c>
      <c r="E827" s="45"/>
      <c r="F827" s="34"/>
      <c r="G827" s="34"/>
      <c r="H827" s="214"/>
      <c r="I827" s="47">
        <v>30900</v>
      </c>
      <c r="K827" s="51"/>
    </row>
    <row r="828" spans="1:11" ht="23.25" customHeight="1">
      <c r="A828" s="81"/>
      <c r="B828" s="81"/>
      <c r="C828" s="77">
        <f>63100+63100+63100+57400+46000+43000+31700+31700+36700</f>
        <v>435800</v>
      </c>
      <c r="D828" s="213" t="s">
        <v>240</v>
      </c>
      <c r="E828" s="45"/>
      <c r="F828" s="34"/>
      <c r="G828" s="34"/>
      <c r="H828" s="214"/>
      <c r="I828" s="47">
        <v>36700</v>
      </c>
      <c r="K828" s="51"/>
    </row>
    <row r="829" spans="1:11" ht="23.25" customHeight="1">
      <c r="A829" s="81"/>
      <c r="B829" s="81"/>
      <c r="C829" s="77">
        <f>81086+54466+78186+74435+74435+67877+64788+38168+64788</f>
        <v>598229</v>
      </c>
      <c r="D829" s="213" t="s">
        <v>241</v>
      </c>
      <c r="E829" s="45"/>
      <c r="F829" s="34"/>
      <c r="G829" s="34"/>
      <c r="H829" s="214"/>
      <c r="I829" s="47">
        <v>64788</v>
      </c>
      <c r="K829" s="51"/>
    </row>
    <row r="830" spans="1:11" ht="23.25" customHeight="1">
      <c r="A830" s="81"/>
      <c r="B830" s="81"/>
      <c r="C830" s="77">
        <f>22027+22027+27315+27212+27351+25651+29045+29104+28521</f>
        <v>238253</v>
      </c>
      <c r="D830" s="213" t="s">
        <v>242</v>
      </c>
      <c r="E830" s="45"/>
      <c r="F830" s="34"/>
      <c r="G830" s="34"/>
      <c r="H830" s="214"/>
      <c r="I830" s="47">
        <v>28521</v>
      </c>
      <c r="K830" s="51"/>
    </row>
    <row r="831" spans="1:11" ht="23.25" customHeight="1">
      <c r="A831" s="81"/>
      <c r="B831" s="81"/>
      <c r="C831" s="73"/>
      <c r="D831" s="82"/>
      <c r="E831" s="45"/>
      <c r="F831" s="70"/>
      <c r="G831" s="70"/>
      <c r="H831" s="74"/>
      <c r="I831" s="73"/>
      <c r="K831" s="51"/>
    </row>
    <row r="832" spans="1:11" ht="23.25" customHeight="1">
      <c r="A832" s="85"/>
      <c r="B832" s="85"/>
      <c r="C832" s="86">
        <f>SUM(C817:C831)</f>
        <v>8837598.219999999</v>
      </c>
      <c r="D832" s="82"/>
      <c r="E832" s="45"/>
      <c r="F832" s="70"/>
      <c r="G832" s="70"/>
      <c r="H832" s="87"/>
      <c r="I832" s="88">
        <f>SUM(I817:I831)</f>
        <v>1792283.78</v>
      </c>
      <c r="K832" s="51"/>
    </row>
    <row r="833" spans="1:11" ht="23.25" customHeight="1" thickBot="1">
      <c r="A833" s="89">
        <f>SUM(A816)</f>
        <v>27650000</v>
      </c>
      <c r="B833" s="89"/>
      <c r="C833" s="90">
        <f>SUM(C816+C832)</f>
        <v>25155651.38</v>
      </c>
      <c r="D833" s="333" t="s">
        <v>94</v>
      </c>
      <c r="E833" s="333"/>
      <c r="F833" s="333"/>
      <c r="G833" s="333"/>
      <c r="H833" s="34"/>
      <c r="I833" s="90">
        <f>SUM(I816+I832)</f>
        <v>3379584.5300000003</v>
      </c>
      <c r="K833" s="51"/>
    </row>
    <row r="834" spans="1:9" ht="23.25" customHeight="1" thickTop="1">
      <c r="A834" s="70"/>
      <c r="B834" s="70"/>
      <c r="C834" s="68"/>
      <c r="D834" s="333" t="s">
        <v>95</v>
      </c>
      <c r="E834" s="333"/>
      <c r="F834" s="333"/>
      <c r="G834" s="333"/>
      <c r="H834" s="70"/>
      <c r="I834" s="91"/>
    </row>
    <row r="835" spans="1:9" ht="23.25" customHeight="1">
      <c r="A835" s="70"/>
      <c r="B835" s="70"/>
      <c r="C835" s="68"/>
      <c r="D835" s="333" t="s">
        <v>96</v>
      </c>
      <c r="E835" s="333"/>
      <c r="F835" s="333"/>
      <c r="G835" s="333"/>
      <c r="H835" s="70"/>
      <c r="I835" s="91"/>
    </row>
    <row r="836" spans="1:9" ht="23.25" customHeight="1">
      <c r="A836" s="69"/>
      <c r="B836" s="69"/>
      <c r="C836" s="92">
        <f>C784-C833</f>
        <v>981026.6499999985</v>
      </c>
      <c r="D836" s="348" t="s">
        <v>98</v>
      </c>
      <c r="E836" s="348"/>
      <c r="F836" s="348"/>
      <c r="G836" s="348"/>
      <c r="H836" s="69"/>
      <c r="I836" s="92">
        <f>I784-I833</f>
        <v>-340987.54000000004</v>
      </c>
    </row>
    <row r="837" spans="1:9" ht="23.25" customHeight="1">
      <c r="A837" s="69"/>
      <c r="B837" s="69"/>
      <c r="C837" s="95">
        <f>SUM(C756+C784-C833)</f>
        <v>12272953.139999997</v>
      </c>
      <c r="D837" s="348" t="s">
        <v>97</v>
      </c>
      <c r="E837" s="348"/>
      <c r="F837" s="348"/>
      <c r="G837" s="348"/>
      <c r="H837" s="69"/>
      <c r="I837" s="95">
        <f>SUM(I756+I784-I833)</f>
        <v>12272953.14</v>
      </c>
    </row>
    <row r="838" spans="1:11" ht="23.25" customHeight="1">
      <c r="A838" s="69"/>
      <c r="B838" s="69"/>
      <c r="C838" s="217"/>
      <c r="D838" s="206"/>
      <c r="E838" s="206"/>
      <c r="F838" s="206"/>
      <c r="G838" s="206"/>
      <c r="H838" s="69"/>
      <c r="I838" s="217"/>
      <c r="K838" s="51"/>
    </row>
    <row r="839" spans="1:10" ht="23.2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51"/>
    </row>
    <row r="840" spans="1:9" ht="23.25" customHeight="1">
      <c r="A840" s="349" t="s">
        <v>262</v>
      </c>
      <c r="B840" s="349"/>
      <c r="C840" s="349"/>
      <c r="D840" s="349" t="s">
        <v>263</v>
      </c>
      <c r="E840" s="349"/>
      <c r="F840" s="349"/>
      <c r="G840" s="349" t="s">
        <v>5</v>
      </c>
      <c r="H840" s="349"/>
      <c r="I840" s="349"/>
    </row>
    <row r="841" spans="1:9" ht="23.25" customHeight="1">
      <c r="A841" s="349" t="s">
        <v>430</v>
      </c>
      <c r="B841" s="349"/>
      <c r="C841" s="349"/>
      <c r="D841" s="333" t="s">
        <v>126</v>
      </c>
      <c r="E841" s="333"/>
      <c r="F841" s="333"/>
      <c r="G841" s="333" t="s">
        <v>264</v>
      </c>
      <c r="H841" s="333"/>
      <c r="I841" s="333"/>
    </row>
    <row r="842" spans="1:9" ht="23.25" customHeight="1">
      <c r="A842" s="346" t="s">
        <v>431</v>
      </c>
      <c r="B842" s="346"/>
      <c r="C842" s="346"/>
      <c r="D842" s="347" t="s">
        <v>127</v>
      </c>
      <c r="E842" s="347"/>
      <c r="F842" s="347"/>
      <c r="G842" s="347" t="s">
        <v>265</v>
      </c>
      <c r="H842" s="347"/>
      <c r="I842" s="347"/>
    </row>
    <row r="843" spans="1:6" ht="23.25" customHeight="1">
      <c r="A843" s="346" t="s">
        <v>261</v>
      </c>
      <c r="B843" s="346"/>
      <c r="C843" s="346"/>
      <c r="D843" s="97"/>
      <c r="E843" s="97"/>
      <c r="F843" s="97"/>
    </row>
    <row r="844" spans="1:9" ht="23.25" customHeight="1">
      <c r="A844" s="335" t="s">
        <v>132</v>
      </c>
      <c r="B844" s="335"/>
      <c r="C844" s="335"/>
      <c r="D844" s="335"/>
      <c r="E844" s="335"/>
      <c r="F844" s="335"/>
      <c r="G844" s="335"/>
      <c r="H844" s="335"/>
      <c r="I844" s="335"/>
    </row>
    <row r="845" spans="1:9" ht="23.25" customHeight="1">
      <c r="A845" s="348" t="s">
        <v>102</v>
      </c>
      <c r="B845" s="348"/>
      <c r="C845" s="348"/>
      <c r="D845" s="348"/>
      <c r="E845" s="348"/>
      <c r="F845" s="348"/>
      <c r="G845" s="348"/>
      <c r="H845" s="348"/>
      <c r="I845" s="348"/>
    </row>
    <row r="846" spans="1:9" ht="23.25" customHeight="1" thickBot="1">
      <c r="A846" s="206"/>
      <c r="B846" s="354" t="s">
        <v>578</v>
      </c>
      <c r="C846" s="354"/>
      <c r="D846" s="354"/>
      <c r="E846" s="354"/>
      <c r="F846" s="354"/>
      <c r="G846" s="354"/>
      <c r="H846" s="354"/>
      <c r="I846" s="206"/>
    </row>
    <row r="847" spans="1:9" ht="23.25" customHeight="1" thickBot="1">
      <c r="A847" s="355" t="s">
        <v>84</v>
      </c>
      <c r="B847" s="356"/>
      <c r="C847" s="357"/>
      <c r="D847" s="358" t="s">
        <v>78</v>
      </c>
      <c r="E847" s="359"/>
      <c r="F847" s="359"/>
      <c r="G847" s="360"/>
      <c r="H847" s="21" t="s">
        <v>86</v>
      </c>
      <c r="I847" s="22" t="s">
        <v>88</v>
      </c>
    </row>
    <row r="848" spans="1:9" ht="23.25" customHeight="1">
      <c r="A848" s="21" t="s">
        <v>39</v>
      </c>
      <c r="B848" s="21" t="s">
        <v>228</v>
      </c>
      <c r="C848" s="21" t="s">
        <v>85</v>
      </c>
      <c r="D848" s="361"/>
      <c r="E848" s="362"/>
      <c r="F848" s="362"/>
      <c r="G848" s="363"/>
      <c r="H848" s="23" t="s">
        <v>87</v>
      </c>
      <c r="I848" s="21" t="s">
        <v>85</v>
      </c>
    </row>
    <row r="849" spans="1:9" ht="23.25" customHeight="1" thickBot="1">
      <c r="A849" s="24" t="s">
        <v>40</v>
      </c>
      <c r="B849" s="212" t="s">
        <v>229</v>
      </c>
      <c r="C849" s="24" t="s">
        <v>40</v>
      </c>
      <c r="D849" s="364"/>
      <c r="E849" s="365"/>
      <c r="F849" s="365"/>
      <c r="G849" s="366"/>
      <c r="H849" s="25"/>
      <c r="I849" s="24" t="s">
        <v>40</v>
      </c>
    </row>
    <row r="850" spans="1:11" ht="23.25" customHeight="1">
      <c r="A850" s="26"/>
      <c r="B850" s="26"/>
      <c r="C850" s="27">
        <v>11291926.49</v>
      </c>
      <c r="D850" s="28" t="s">
        <v>99</v>
      </c>
      <c r="E850" s="29"/>
      <c r="F850" s="29"/>
      <c r="G850" s="30"/>
      <c r="H850" s="31"/>
      <c r="I850" s="205">
        <f>I837</f>
        <v>12272953.14</v>
      </c>
      <c r="K850" s="51"/>
    </row>
    <row r="851" spans="1:11" ht="23.25" customHeight="1">
      <c r="A851" s="26"/>
      <c r="B851" s="26"/>
      <c r="C851" s="32"/>
      <c r="D851" s="33" t="s">
        <v>89</v>
      </c>
      <c r="E851" s="34"/>
      <c r="F851" s="34"/>
      <c r="G851" s="35"/>
      <c r="H851" s="37"/>
      <c r="I851" s="39"/>
      <c r="K851" s="51"/>
    </row>
    <row r="852" spans="1:11" ht="23.25" customHeight="1">
      <c r="A852" s="36">
        <v>58000</v>
      </c>
      <c r="B852" s="36"/>
      <c r="C852" s="36">
        <f>11293.82+43012.69+6286.5+3896.84+6700.36+722.1+1262.12</f>
        <v>73174.43000000001</v>
      </c>
      <c r="D852" s="37" t="s">
        <v>41</v>
      </c>
      <c r="E852" s="34"/>
      <c r="F852" s="34"/>
      <c r="G852" s="35"/>
      <c r="H852" s="38">
        <v>411000</v>
      </c>
      <c r="I852" s="39">
        <v>1262.12</v>
      </c>
      <c r="K852" s="51"/>
    </row>
    <row r="853" spans="1:11" ht="23.25" customHeight="1">
      <c r="A853" s="36">
        <v>26000</v>
      </c>
      <c r="B853" s="36"/>
      <c r="C853" s="36">
        <f>1636.4+2740+6047.6+500+1326.6+50+302+2847.6+933.4</f>
        <v>16383.6</v>
      </c>
      <c r="D853" s="37" t="s">
        <v>90</v>
      </c>
      <c r="E853" s="34"/>
      <c r="F853" s="34"/>
      <c r="G853" s="35"/>
      <c r="H853" s="38">
        <v>412000</v>
      </c>
      <c r="I853" s="36">
        <f>50+19.4+864</f>
        <v>933.4</v>
      </c>
      <c r="K853" s="51"/>
    </row>
    <row r="854" spans="1:11" ht="23.25" customHeight="1">
      <c r="A854" s="36">
        <v>70000</v>
      </c>
      <c r="B854" s="36"/>
      <c r="C854" s="36">
        <v>23672.04</v>
      </c>
      <c r="D854" s="37" t="s">
        <v>42</v>
      </c>
      <c r="E854" s="34"/>
      <c r="F854" s="34"/>
      <c r="G854" s="35"/>
      <c r="H854" s="38">
        <v>413000</v>
      </c>
      <c r="I854" s="36"/>
      <c r="K854" s="51"/>
    </row>
    <row r="855" spans="1:11" ht="23.25" customHeight="1">
      <c r="A855" s="36">
        <v>41000</v>
      </c>
      <c r="B855" s="36"/>
      <c r="C855" s="36">
        <f>819.4+12550+100</f>
        <v>13469.4</v>
      </c>
      <c r="D855" s="37" t="s">
        <v>43</v>
      </c>
      <c r="E855" s="34"/>
      <c r="F855" s="34"/>
      <c r="G855" s="35"/>
      <c r="H855" s="38">
        <v>415000</v>
      </c>
      <c r="I855" s="39"/>
      <c r="K855" s="51"/>
    </row>
    <row r="856" spans="1:11" ht="23.25" customHeight="1">
      <c r="A856" s="36">
        <v>13150500</v>
      </c>
      <c r="B856" s="36"/>
      <c r="C856" s="36">
        <f>788344.77+1330617.03+1065104.85+446671.74+1157541.33+1874565.16+452109.7+1965434.07+1321720.05+429562.67</f>
        <v>10831671.370000001</v>
      </c>
      <c r="D856" s="37" t="s">
        <v>44</v>
      </c>
      <c r="E856" s="34"/>
      <c r="F856" s="34"/>
      <c r="G856" s="35"/>
      <c r="H856" s="40">
        <v>420000</v>
      </c>
      <c r="I856" s="39">
        <v>429562.67</v>
      </c>
      <c r="K856" s="51"/>
    </row>
    <row r="857" spans="1:11" ht="23.25" customHeight="1">
      <c r="A857" s="36">
        <v>14304500</v>
      </c>
      <c r="B857" s="36"/>
      <c r="C857" s="36">
        <f>3261953+3161934+1819113+114000+1728025</f>
        <v>10085025</v>
      </c>
      <c r="D857" s="37" t="s">
        <v>101</v>
      </c>
      <c r="E857" s="34"/>
      <c r="F857" s="34"/>
      <c r="G857" s="35"/>
      <c r="H857" s="40">
        <v>430000</v>
      </c>
      <c r="I857" s="39">
        <v>1728025</v>
      </c>
      <c r="K857" s="51"/>
    </row>
    <row r="858" spans="1:11" ht="23.25" customHeight="1" thickBot="1">
      <c r="A858" s="41">
        <f>SUM(A852:A857)</f>
        <v>27650000</v>
      </c>
      <c r="B858" s="41"/>
      <c r="C858" s="42">
        <f>SUM(C852:C857)</f>
        <v>21043395.840000004</v>
      </c>
      <c r="D858" s="37"/>
      <c r="E858" s="34"/>
      <c r="F858" s="34"/>
      <c r="G858" s="35"/>
      <c r="H858" s="40"/>
      <c r="I858" s="41">
        <f>SUM(I852:I857)</f>
        <v>2159783.19</v>
      </c>
      <c r="K858" s="51"/>
    </row>
    <row r="859" spans="1:11" ht="23.25" customHeight="1" thickTop="1">
      <c r="A859" s="36"/>
      <c r="B859" s="36"/>
      <c r="C859" s="36">
        <v>2566</v>
      </c>
      <c r="D859" s="37" t="s">
        <v>231</v>
      </c>
      <c r="E859" s="34"/>
      <c r="F859" s="34"/>
      <c r="G859" s="35"/>
      <c r="H859" s="40">
        <v>110605</v>
      </c>
      <c r="I859" s="36"/>
      <c r="K859" s="51"/>
    </row>
    <row r="860" spans="1:11" ht="23.25" customHeight="1">
      <c r="A860" s="36"/>
      <c r="B860" s="36"/>
      <c r="C860" s="36">
        <f>440600+564400+422000+423200+672100+422400+420300+418600+419200</f>
        <v>4202800</v>
      </c>
      <c r="D860" s="37" t="s">
        <v>103</v>
      </c>
      <c r="E860" s="34"/>
      <c r="F860" s="34"/>
      <c r="G860" s="35"/>
      <c r="H860" s="40"/>
      <c r="I860" s="36">
        <f>419200</f>
        <v>419200</v>
      </c>
      <c r="K860" s="51"/>
    </row>
    <row r="861" spans="1:11" ht="23.25" customHeight="1">
      <c r="A861" s="26"/>
      <c r="B861" s="26"/>
      <c r="C861" s="43">
        <f>5599.5+4923.02+13007.36+2976.64+3515.79+8965.37+4612.69+3671.78+2471.69+4919.6</f>
        <v>54663.44</v>
      </c>
      <c r="D861" s="44" t="s">
        <v>232</v>
      </c>
      <c r="E861" s="45"/>
      <c r="F861" s="34"/>
      <c r="G861" s="35"/>
      <c r="H861" s="40"/>
      <c r="I861" s="46">
        <v>4919.6</v>
      </c>
      <c r="K861" s="51"/>
    </row>
    <row r="862" spans="1:11" ht="23.25" customHeight="1">
      <c r="A862" s="26"/>
      <c r="B862" s="26"/>
      <c r="C862" s="43">
        <f>429650</f>
        <v>429650</v>
      </c>
      <c r="D862" s="44" t="s">
        <v>233</v>
      </c>
      <c r="E862" s="45"/>
      <c r="F862" s="34"/>
      <c r="G862" s="47"/>
      <c r="H862" s="40"/>
      <c r="I862" s="48"/>
      <c r="K862" s="51"/>
    </row>
    <row r="863" spans="1:11" ht="23.25" customHeight="1">
      <c r="A863" s="26"/>
      <c r="B863" s="26"/>
      <c r="C863" s="43">
        <f>7213+6713+7283+7283+7283+7283+7283+7853+7853+7853</f>
        <v>73900</v>
      </c>
      <c r="D863" s="44" t="s">
        <v>234</v>
      </c>
      <c r="E863" s="45"/>
      <c r="F863" s="34"/>
      <c r="G863" s="35"/>
      <c r="H863" s="49"/>
      <c r="I863" s="48">
        <v>7853</v>
      </c>
      <c r="K863" s="51"/>
    </row>
    <row r="864" spans="1:11" ht="23.25" customHeight="1">
      <c r="A864" s="26"/>
      <c r="B864" s="26"/>
      <c r="C864" s="43">
        <f>C770+80.63</f>
        <v>2785.5699999999997</v>
      </c>
      <c r="D864" s="82" t="s">
        <v>407</v>
      </c>
      <c r="E864" s="45"/>
      <c r="F864" s="34"/>
      <c r="G864" s="35"/>
      <c r="H864" s="49"/>
      <c r="I864" s="48">
        <v>80.63</v>
      </c>
      <c r="K864" s="51"/>
    </row>
    <row r="865" spans="1:11" ht="23.25" customHeight="1">
      <c r="A865" s="26"/>
      <c r="B865" s="26"/>
      <c r="C865" s="43">
        <f>320000+80000</f>
        <v>400000</v>
      </c>
      <c r="D865" s="82" t="s">
        <v>351</v>
      </c>
      <c r="E865" s="45"/>
      <c r="F865" s="34"/>
      <c r="G865" s="35"/>
      <c r="H865" s="49"/>
      <c r="I865" s="48">
        <v>80000</v>
      </c>
      <c r="K865" s="51"/>
    </row>
    <row r="866" spans="1:9" ht="23.25" customHeight="1">
      <c r="A866" s="26"/>
      <c r="B866" s="26"/>
      <c r="C866" s="43">
        <v>4.07</v>
      </c>
      <c r="D866" s="13" t="s">
        <v>173</v>
      </c>
      <c r="E866" s="45"/>
      <c r="F866" s="34"/>
      <c r="G866" s="35"/>
      <c r="H866" s="49"/>
      <c r="I866" s="48"/>
    </row>
    <row r="867" spans="1:9" ht="23.25" customHeight="1">
      <c r="A867" s="26"/>
      <c r="B867" s="26"/>
      <c r="C867" s="43">
        <f>C773</f>
        <v>880468.4299999999</v>
      </c>
      <c r="D867" s="44" t="s">
        <v>235</v>
      </c>
      <c r="E867" s="45"/>
      <c r="F867" s="34"/>
      <c r="G867" s="35"/>
      <c r="H867" s="40"/>
      <c r="I867" s="48">
        <v>0</v>
      </c>
    </row>
    <row r="868" spans="1:9" ht="23.25" customHeight="1">
      <c r="A868" s="26"/>
      <c r="B868" s="26"/>
      <c r="C868" s="43">
        <f>24450+13875+8450+11600+19625+12275</f>
        <v>90275</v>
      </c>
      <c r="D868" s="44" t="s">
        <v>236</v>
      </c>
      <c r="E868" s="45"/>
      <c r="F868" s="34"/>
      <c r="G868" s="35"/>
      <c r="H868" s="40"/>
      <c r="I868" s="48">
        <v>0</v>
      </c>
    </row>
    <row r="869" spans="1:9" ht="23.25" customHeight="1">
      <c r="A869" s="26"/>
      <c r="B869" s="26"/>
      <c r="C869" s="43">
        <f>29388+51250+29187+29374+36674+35572+31572+31800+30900+43995</f>
        <v>349712</v>
      </c>
      <c r="D869" s="44" t="s">
        <v>239</v>
      </c>
      <c r="E869" s="45"/>
      <c r="F869" s="34"/>
      <c r="G869" s="35"/>
      <c r="H869" s="40"/>
      <c r="I869" s="48">
        <v>43995</v>
      </c>
    </row>
    <row r="870" spans="1:9" ht="23.25" customHeight="1">
      <c r="A870" s="26"/>
      <c r="B870" s="26"/>
      <c r="C870" s="43">
        <f>63100+63100+63100+57400+46000+43000+31700+31700+36700+36700</f>
        <v>472500</v>
      </c>
      <c r="D870" s="44" t="s">
        <v>240</v>
      </c>
      <c r="E870" s="45"/>
      <c r="F870" s="34"/>
      <c r="G870" s="34"/>
      <c r="H870" s="40"/>
      <c r="I870" s="47">
        <v>36700</v>
      </c>
    </row>
    <row r="871" spans="1:9" ht="23.25" customHeight="1">
      <c r="A871" s="26"/>
      <c r="B871" s="26"/>
      <c r="C871" s="43">
        <f>81086+54466+78186+74435+74435+67877+64788+38168+64788+64764</f>
        <v>662993</v>
      </c>
      <c r="D871" s="44" t="s">
        <v>241</v>
      </c>
      <c r="E871" s="45"/>
      <c r="F871" s="34"/>
      <c r="G871" s="34"/>
      <c r="H871" s="40"/>
      <c r="I871" s="47">
        <v>64764</v>
      </c>
    </row>
    <row r="872" spans="1:9" ht="23.25" customHeight="1">
      <c r="A872" s="26"/>
      <c r="B872" s="26"/>
      <c r="C872" s="43">
        <f>22027+22027+27315+27212+27351+25651+29045+29104+28521+28857</f>
        <v>267110</v>
      </c>
      <c r="D872" s="44" t="s">
        <v>242</v>
      </c>
      <c r="E872" s="45"/>
      <c r="F872" s="34"/>
      <c r="G872" s="34"/>
      <c r="H872" s="40"/>
      <c r="I872" s="47">
        <v>28857</v>
      </c>
    </row>
    <row r="873" spans="1:9" ht="23.25" customHeight="1">
      <c r="A873" s="26"/>
      <c r="B873" s="26"/>
      <c r="C873" s="43">
        <v>50000</v>
      </c>
      <c r="D873" s="155" t="s">
        <v>428</v>
      </c>
      <c r="E873" s="45"/>
      <c r="F873" s="34"/>
      <c r="G873" s="34"/>
      <c r="H873" s="40"/>
      <c r="I873" s="47"/>
    </row>
    <row r="874" spans="1:9" ht="23.25" customHeight="1">
      <c r="A874" s="26"/>
      <c r="B874" s="26"/>
      <c r="C874" s="43"/>
      <c r="D874" s="156" t="s">
        <v>429</v>
      </c>
      <c r="E874" s="45"/>
      <c r="F874" s="34"/>
      <c r="G874" s="34"/>
      <c r="H874" s="40"/>
      <c r="I874" s="47"/>
    </row>
    <row r="875" spans="1:9" ht="23.25" customHeight="1">
      <c r="A875" s="26"/>
      <c r="B875" s="26"/>
      <c r="C875" s="43">
        <v>7.1</v>
      </c>
      <c r="D875" s="44" t="s">
        <v>38</v>
      </c>
      <c r="E875" s="45"/>
      <c r="F875" s="34"/>
      <c r="G875" s="34"/>
      <c r="H875" s="40"/>
      <c r="I875" s="47"/>
    </row>
    <row r="876" spans="1:9" ht="23.25" customHeight="1">
      <c r="A876" s="26"/>
      <c r="B876" s="26"/>
      <c r="C876" s="43"/>
      <c r="D876" s="44"/>
      <c r="E876" s="45"/>
      <c r="F876" s="34"/>
      <c r="G876" s="34"/>
      <c r="H876" s="40"/>
      <c r="I876" s="47"/>
    </row>
    <row r="877" spans="1:9" ht="23.25" customHeight="1" thickBot="1">
      <c r="A877" s="26"/>
      <c r="B877" s="26"/>
      <c r="C877" s="52">
        <f>SUM(C859:C876)</f>
        <v>7939434.61</v>
      </c>
      <c r="D877" s="37"/>
      <c r="E877" s="34"/>
      <c r="F877" s="34"/>
      <c r="G877" s="34"/>
      <c r="H877" s="35"/>
      <c r="I877" s="54">
        <f>SUM(I859:I875)</f>
        <v>686369.23</v>
      </c>
    </row>
    <row r="878" spans="1:9" ht="23.25" customHeight="1" thickBot="1">
      <c r="A878" s="55">
        <f>SUM(A858)</f>
        <v>27650000</v>
      </c>
      <c r="B878" s="211"/>
      <c r="C878" s="41">
        <f>SUM(C858+C877)</f>
        <v>28982830.450000003</v>
      </c>
      <c r="D878" s="37"/>
      <c r="E878" s="34"/>
      <c r="F878" s="56" t="s">
        <v>106</v>
      </c>
      <c r="G878" s="34"/>
      <c r="H878" s="35"/>
      <c r="I878" s="41">
        <f>SUM(I858+I877)</f>
        <v>2846152.42</v>
      </c>
    </row>
    <row r="879" spans="1:9" ht="23.25" customHeight="1">
      <c r="A879" s="57"/>
      <c r="B879" s="57"/>
      <c r="C879" s="57"/>
      <c r="D879" s="34"/>
      <c r="E879" s="34"/>
      <c r="F879" s="56"/>
      <c r="G879" s="34"/>
      <c r="H879" s="34"/>
      <c r="I879" s="57"/>
    </row>
    <row r="880" spans="1:9" ht="23.25" customHeight="1">
      <c r="A880" s="57"/>
      <c r="B880" s="57"/>
      <c r="C880" s="57"/>
      <c r="D880" s="34"/>
      <c r="E880" s="34"/>
      <c r="F880" s="56"/>
      <c r="G880" s="34"/>
      <c r="H880" s="34"/>
      <c r="I880" s="57"/>
    </row>
    <row r="881" spans="1:9" ht="23.25" customHeight="1">
      <c r="A881" s="57"/>
      <c r="B881" s="57"/>
      <c r="C881" s="57"/>
      <c r="D881" s="34"/>
      <c r="E881" s="34"/>
      <c r="F881" s="56"/>
      <c r="G881" s="34"/>
      <c r="H881" s="34"/>
      <c r="I881" s="57"/>
    </row>
    <row r="882" spans="1:9" ht="23.25" customHeight="1">
      <c r="A882" s="57"/>
      <c r="B882" s="57"/>
      <c r="C882" s="57"/>
      <c r="D882" s="34"/>
      <c r="E882" s="34"/>
      <c r="F882" s="56"/>
      <c r="G882" s="34"/>
      <c r="H882" s="34"/>
      <c r="I882" s="57"/>
    </row>
    <row r="883" spans="1:9" ht="23.25" customHeight="1">
      <c r="A883" s="57"/>
      <c r="B883" s="57"/>
      <c r="C883" s="57"/>
      <c r="D883" s="34"/>
      <c r="E883" s="34"/>
      <c r="F883" s="56"/>
      <c r="G883" s="34"/>
      <c r="H883" s="34"/>
      <c r="I883" s="57"/>
    </row>
    <row r="884" spans="1:9" ht="23.25" customHeight="1">
      <c r="A884" s="57"/>
      <c r="B884" s="57"/>
      <c r="C884" s="57"/>
      <c r="D884" s="34"/>
      <c r="E884" s="34"/>
      <c r="F884" s="56"/>
      <c r="G884" s="34"/>
      <c r="H884" s="34"/>
      <c r="I884" s="57"/>
    </row>
    <row r="885" spans="1:9" ht="23.25" customHeight="1">
      <c r="A885" s="57"/>
      <c r="B885" s="57"/>
      <c r="C885" s="57"/>
      <c r="D885" s="34"/>
      <c r="E885" s="34"/>
      <c r="F885" s="56"/>
      <c r="G885" s="34"/>
      <c r="H885" s="34"/>
      <c r="I885" s="57"/>
    </row>
    <row r="886" spans="1:9" ht="23.25" customHeight="1">
      <c r="A886" s="57"/>
      <c r="B886" s="57"/>
      <c r="C886" s="57"/>
      <c r="D886" s="34"/>
      <c r="E886" s="34"/>
      <c r="F886" s="56"/>
      <c r="G886" s="34"/>
      <c r="H886" s="34"/>
      <c r="I886" s="57"/>
    </row>
    <row r="887" spans="1:9" ht="23.25" customHeight="1">
      <c r="A887" s="57"/>
      <c r="B887" s="57"/>
      <c r="C887" s="57"/>
      <c r="D887" s="34"/>
      <c r="E887" s="34"/>
      <c r="F887" s="56"/>
      <c r="G887" s="34"/>
      <c r="H887" s="34"/>
      <c r="I887" s="57"/>
    </row>
    <row r="888" spans="1:9" ht="23.25" customHeight="1">
      <c r="A888" s="57"/>
      <c r="B888" s="57"/>
      <c r="C888" s="57"/>
      <c r="D888" s="34"/>
      <c r="E888" s="34"/>
      <c r="F888" s="56"/>
      <c r="G888" s="34"/>
      <c r="H888" s="34"/>
      <c r="I888" s="57"/>
    </row>
    <row r="889" spans="1:9" ht="23.25" customHeight="1">
      <c r="A889" s="57"/>
      <c r="B889" s="57"/>
      <c r="C889" s="57"/>
      <c r="D889" s="34"/>
      <c r="E889" s="34"/>
      <c r="F889" s="56"/>
      <c r="G889" s="34"/>
      <c r="H889" s="34"/>
      <c r="I889" s="57"/>
    </row>
    <row r="890" spans="1:9" ht="23.25" customHeight="1">
      <c r="A890" s="57"/>
      <c r="B890" s="57"/>
      <c r="C890" s="57"/>
      <c r="D890" s="34"/>
      <c r="E890" s="34"/>
      <c r="F890" s="56"/>
      <c r="G890" s="34"/>
      <c r="H890" s="34"/>
      <c r="I890" s="57"/>
    </row>
    <row r="891" spans="1:9" ht="23.25" customHeight="1">
      <c r="A891" s="57"/>
      <c r="B891" s="57"/>
      <c r="C891" s="57"/>
      <c r="D891" s="34"/>
      <c r="E891" s="34"/>
      <c r="F891" s="56"/>
      <c r="G891" s="34"/>
      <c r="H891" s="34"/>
      <c r="I891" s="57"/>
    </row>
    <row r="892" spans="1:9" ht="23.25" customHeight="1">
      <c r="A892" s="333">
        <v>2</v>
      </c>
      <c r="B892" s="333"/>
      <c r="C892" s="333"/>
      <c r="D892" s="333"/>
      <c r="E892" s="333"/>
      <c r="F892" s="333"/>
      <c r="G892" s="333"/>
      <c r="H892" s="333"/>
      <c r="I892" s="333"/>
    </row>
    <row r="893" spans="1:9" ht="23.25" customHeight="1">
      <c r="A893" s="350" t="s">
        <v>91</v>
      </c>
      <c r="B893" s="351"/>
      <c r="C893" s="352"/>
      <c r="D893" s="58"/>
      <c r="E893" s="58"/>
      <c r="F893" s="58"/>
      <c r="G893" s="58"/>
      <c r="H893" s="59" t="s">
        <v>86</v>
      </c>
      <c r="I893" s="60" t="s">
        <v>88</v>
      </c>
    </row>
    <row r="894" spans="1:9" ht="23.25" customHeight="1">
      <c r="A894" s="59" t="s">
        <v>39</v>
      </c>
      <c r="B894" s="59" t="s">
        <v>228</v>
      </c>
      <c r="C894" s="59" t="s">
        <v>85</v>
      </c>
      <c r="D894" s="353" t="s">
        <v>78</v>
      </c>
      <c r="E894" s="353"/>
      <c r="F894" s="353"/>
      <c r="G894" s="353"/>
      <c r="H894" s="62" t="s">
        <v>87</v>
      </c>
      <c r="I894" s="59" t="s">
        <v>85</v>
      </c>
    </row>
    <row r="895" spans="1:9" ht="23.25" customHeight="1">
      <c r="A895" s="64" t="s">
        <v>40</v>
      </c>
      <c r="B895" s="216" t="s">
        <v>229</v>
      </c>
      <c r="C895" s="64" t="s">
        <v>40</v>
      </c>
      <c r="D895" s="65"/>
      <c r="E895" s="65"/>
      <c r="F895" s="65"/>
      <c r="G895" s="65"/>
      <c r="H895" s="66"/>
      <c r="I895" s="64" t="s">
        <v>40</v>
      </c>
    </row>
    <row r="896" spans="1:9" ht="23.25" customHeight="1">
      <c r="A896" s="68"/>
      <c r="B896" s="68"/>
      <c r="C896" s="68"/>
      <c r="D896" s="69" t="s">
        <v>92</v>
      </c>
      <c r="E896" s="70"/>
      <c r="F896" s="70"/>
      <c r="G896" s="70"/>
      <c r="H896" s="71"/>
      <c r="I896" s="72"/>
    </row>
    <row r="897" spans="1:9" ht="23.25" customHeight="1">
      <c r="A897" s="73">
        <v>6761806</v>
      </c>
      <c r="B897" s="73"/>
      <c r="C897" s="73">
        <f>572455+479826+930683+589283+440683+440683+519583+439953+440453+440253</f>
        <v>5293855</v>
      </c>
      <c r="D897" s="70" t="s">
        <v>45</v>
      </c>
      <c r="F897" s="70"/>
      <c r="G897" s="70"/>
      <c r="H897" s="74">
        <v>510000</v>
      </c>
      <c r="I897" s="73">
        <f>21853+419200-800</f>
        <v>440253</v>
      </c>
    </row>
    <row r="898" spans="1:9" ht="23.25" customHeight="1">
      <c r="A898" s="73">
        <v>2484720</v>
      </c>
      <c r="B898" s="73"/>
      <c r="C898" s="73">
        <f>I898+207060+207060+207060+207060+207060+207060+207060+207060+207060</f>
        <v>2070600</v>
      </c>
      <c r="D898" s="70" t="s">
        <v>135</v>
      </c>
      <c r="F898" s="70"/>
      <c r="G898" s="70"/>
      <c r="H898" s="74">
        <v>521000</v>
      </c>
      <c r="I898" s="75">
        <v>207060</v>
      </c>
    </row>
    <row r="899" spans="1:9" ht="23.25" customHeight="1">
      <c r="A899" s="73">
        <f>5864260-162420</f>
        <v>5701840</v>
      </c>
      <c r="B899" s="73"/>
      <c r="C899" s="73">
        <f>340780+340780+340780+341490+341040+341040+327204+317400+317090+347470</f>
        <v>3355074</v>
      </c>
      <c r="D899" s="70" t="s">
        <v>107</v>
      </c>
      <c r="F899" s="70"/>
      <c r="G899" s="70"/>
      <c r="H899" s="74">
        <v>522000</v>
      </c>
      <c r="I899" s="75">
        <v>347470</v>
      </c>
    </row>
    <row r="900" spans="1:9" ht="23.25" customHeight="1">
      <c r="A900" s="73">
        <v>162420</v>
      </c>
      <c r="B900" s="73"/>
      <c r="C900" s="73">
        <f>13310+13310+13310+13310+13310+13310+13760+13760+13760+13760</f>
        <v>134900</v>
      </c>
      <c r="D900" s="70" t="s">
        <v>93</v>
      </c>
      <c r="F900" s="70"/>
      <c r="G900" s="70"/>
      <c r="H900" s="74">
        <v>522000</v>
      </c>
      <c r="I900" s="75">
        <v>13760</v>
      </c>
    </row>
    <row r="901" spans="1:9" ht="23.25" customHeight="1">
      <c r="A901" s="73">
        <v>1938624</v>
      </c>
      <c r="B901" s="73"/>
      <c r="C901" s="73">
        <f>147075+137075+148475+148475+148475+148475+148475+159875+159875+159875</f>
        <v>1506150</v>
      </c>
      <c r="D901" s="70" t="s">
        <v>33</v>
      </c>
      <c r="F901" s="70"/>
      <c r="G901" s="70"/>
      <c r="H901" s="74">
        <v>522000</v>
      </c>
      <c r="I901" s="75">
        <v>159875</v>
      </c>
    </row>
    <row r="902" spans="1:9" ht="23.25" customHeight="1">
      <c r="A902" s="73">
        <v>895670</v>
      </c>
      <c r="B902" s="73"/>
      <c r="C902" s="73">
        <f>7400+15115+20000+9930+13000+20600+3200+18300+10843.5+10892</f>
        <v>129280.5</v>
      </c>
      <c r="D902" s="70" t="s">
        <v>80</v>
      </c>
      <c r="F902" s="70"/>
      <c r="G902" s="70"/>
      <c r="H902" s="74">
        <v>531000</v>
      </c>
      <c r="I902" s="75">
        <v>10892</v>
      </c>
    </row>
    <row r="903" spans="1:9" ht="23.25" customHeight="1">
      <c r="A903" s="73">
        <v>4175470</v>
      </c>
      <c r="B903" s="73"/>
      <c r="C903" s="73">
        <f>112050+193659.29-0.9+428958.85+220010+228739.5+532105+322037.36+194944.17+339560+333010</f>
        <v>2905073.27</v>
      </c>
      <c r="D903" s="70" t="s">
        <v>81</v>
      </c>
      <c r="F903" s="70"/>
      <c r="G903" s="70"/>
      <c r="H903" s="76">
        <v>532000</v>
      </c>
      <c r="I903" s="75">
        <v>333010</v>
      </c>
    </row>
    <row r="904" spans="1:9" ht="23.25" customHeight="1">
      <c r="A904" s="77">
        <v>1880550</v>
      </c>
      <c r="B904" s="77"/>
      <c r="C904" s="73">
        <f>90550+156574+221628.39+31381+149257+236143.88+51371+70740+13970</f>
        <v>1021615.27</v>
      </c>
      <c r="D904" s="70" t="s">
        <v>83</v>
      </c>
      <c r="F904" s="70"/>
      <c r="G904" s="70"/>
      <c r="H904" s="76">
        <v>533000</v>
      </c>
      <c r="I904" s="75">
        <v>13970</v>
      </c>
    </row>
    <row r="905" spans="1:9" ht="23.25" customHeight="1">
      <c r="A905" s="77">
        <v>216000</v>
      </c>
      <c r="B905" s="77"/>
      <c r="C905" s="73">
        <f>3992.17+10529.38+15448.29+22732.73+7784.88+23091.81+244+19380.88+27919.25+18383.78</f>
        <v>149507.17</v>
      </c>
      <c r="D905" s="70" t="s">
        <v>34</v>
      </c>
      <c r="F905" s="70"/>
      <c r="G905" s="70"/>
      <c r="H905" s="76">
        <v>534000</v>
      </c>
      <c r="I905" s="75">
        <v>18383.78</v>
      </c>
    </row>
    <row r="906" spans="1:9" ht="23.25" customHeight="1">
      <c r="A906" s="77">
        <v>301900</v>
      </c>
      <c r="B906" s="77"/>
      <c r="C906" s="73">
        <f>72600+27000+14000+51500</f>
        <v>165100</v>
      </c>
      <c r="D906" s="70" t="s">
        <v>36</v>
      </c>
      <c r="F906" s="70"/>
      <c r="G906" s="70"/>
      <c r="H906" s="76">
        <v>541000</v>
      </c>
      <c r="I906" s="75"/>
    </row>
    <row r="907" spans="1:9" ht="23.25" customHeight="1">
      <c r="A907" s="77">
        <v>2041000</v>
      </c>
      <c r="B907" s="77"/>
      <c r="C907" s="73">
        <f>201000+193500</f>
        <v>394500</v>
      </c>
      <c r="D907" s="70" t="s">
        <v>37</v>
      </c>
      <c r="F907" s="70"/>
      <c r="G907" s="70"/>
      <c r="H907" s="76">
        <v>542000</v>
      </c>
      <c r="I907" s="75">
        <v>193500</v>
      </c>
    </row>
    <row r="908" spans="1:9" ht="23.25" customHeight="1">
      <c r="A908" s="77">
        <v>1090000</v>
      </c>
      <c r="B908" s="77"/>
      <c r="C908" s="73">
        <f>253000+20000+330522.47+28000+299049.26+232000</f>
        <v>1162571.73</v>
      </c>
      <c r="D908" s="70" t="s">
        <v>35</v>
      </c>
      <c r="F908" s="70"/>
      <c r="G908" s="70"/>
      <c r="H908" s="76">
        <v>560000</v>
      </c>
      <c r="I908" s="73">
        <v>232000</v>
      </c>
    </row>
    <row r="909" spans="1:9" ht="23.25" customHeight="1">
      <c r="A909" s="77"/>
      <c r="B909" s="77"/>
      <c r="C909" s="73">
        <f>I909</f>
        <v>0</v>
      </c>
      <c r="D909" s="70" t="s">
        <v>122</v>
      </c>
      <c r="F909" s="70"/>
      <c r="G909" s="70"/>
      <c r="H909" s="76">
        <v>550000</v>
      </c>
      <c r="I909" s="73">
        <v>0</v>
      </c>
    </row>
    <row r="910" spans="1:9" ht="23.25" customHeight="1" thickBot="1">
      <c r="A910" s="78">
        <f>SUM(A896:A909)</f>
        <v>27650000</v>
      </c>
      <c r="B910" s="78"/>
      <c r="C910" s="90">
        <f>SUM(C897:C909)</f>
        <v>18288226.94</v>
      </c>
      <c r="D910" s="70"/>
      <c r="E910" s="70"/>
      <c r="F910" s="70"/>
      <c r="G910" s="70"/>
      <c r="H910" s="76"/>
      <c r="I910" s="90">
        <f>SUM(I896:I909)</f>
        <v>1970173.78</v>
      </c>
    </row>
    <row r="911" spans="1:9" ht="23.25" customHeight="1" thickTop="1">
      <c r="A911" s="80"/>
      <c r="B911" s="80"/>
      <c r="C911" s="73">
        <v>2566</v>
      </c>
      <c r="D911" s="70" t="s">
        <v>201</v>
      </c>
      <c r="E911" s="70"/>
      <c r="F911" s="70"/>
      <c r="G911" s="70"/>
      <c r="H911" s="76"/>
      <c r="I911" s="73"/>
    </row>
    <row r="912" spans="1:9" ht="23.25" customHeight="1">
      <c r="A912" s="80"/>
      <c r="B912" s="80"/>
      <c r="C912" s="73">
        <f>440600+564400+422000+429300+666000+422400+420300+418600+419200</f>
        <v>4202800</v>
      </c>
      <c r="D912" s="70" t="s">
        <v>352</v>
      </c>
      <c r="E912" s="70"/>
      <c r="F912" s="70"/>
      <c r="G912" s="70"/>
      <c r="H912" s="76"/>
      <c r="I912" s="73">
        <f>419200</f>
        <v>419200</v>
      </c>
    </row>
    <row r="913" spans="1:9" ht="23.25" customHeight="1">
      <c r="A913" s="83"/>
      <c r="B913" s="83"/>
      <c r="C913" s="73">
        <f>475000+253800+392500+17238.5+382500</f>
        <v>1521038.5</v>
      </c>
      <c r="D913" s="82" t="s">
        <v>18</v>
      </c>
      <c r="E913" s="34"/>
      <c r="F913" s="70"/>
      <c r="G913" s="70"/>
      <c r="H913" s="74"/>
      <c r="I913" s="73"/>
    </row>
    <row r="914" spans="1:9" ht="23.25" customHeight="1">
      <c r="A914" s="83"/>
      <c r="B914" s="83"/>
      <c r="C914" s="73">
        <f>166200+263450</f>
        <v>429650</v>
      </c>
      <c r="D914" s="82" t="s">
        <v>389</v>
      </c>
      <c r="E914" s="34"/>
      <c r="F914" s="70"/>
      <c r="G914" s="70"/>
      <c r="H914" s="74"/>
      <c r="I914" s="73"/>
    </row>
    <row r="915" spans="1:9" ht="23.25" customHeight="1">
      <c r="A915" s="81"/>
      <c r="B915" s="81"/>
      <c r="C915" s="73">
        <f>6988.19+5599.5+4923.02+13007.36+2976.64+3515.79+8965.37+4612.69+3671.78+2471.69</f>
        <v>56732.030000000006</v>
      </c>
      <c r="D915" s="82" t="s">
        <v>232</v>
      </c>
      <c r="E915" s="34"/>
      <c r="F915" s="70"/>
      <c r="G915" s="70"/>
      <c r="H915" s="74"/>
      <c r="I915" s="73">
        <v>2471.69</v>
      </c>
    </row>
    <row r="916" spans="1:9" ht="23.25" customHeight="1">
      <c r="A916" s="81"/>
      <c r="B916" s="81"/>
      <c r="C916" s="73">
        <v>2842.38</v>
      </c>
      <c r="D916" s="82" t="s">
        <v>407</v>
      </c>
      <c r="E916" s="34"/>
      <c r="F916" s="70"/>
      <c r="G916" s="70"/>
      <c r="H916" s="74"/>
      <c r="I916" s="73"/>
    </row>
    <row r="917" spans="1:9" ht="23.25" customHeight="1">
      <c r="A917" s="81"/>
      <c r="B917" s="81"/>
      <c r="C917" s="73">
        <f>16050+9450+72845+21250+4950</f>
        <v>124545</v>
      </c>
      <c r="D917" s="34" t="s">
        <v>237</v>
      </c>
      <c r="F917" s="70"/>
      <c r="G917" s="70"/>
      <c r="H917" s="76">
        <v>300000</v>
      </c>
      <c r="I917" s="73">
        <v>4950</v>
      </c>
    </row>
    <row r="918" spans="1:9" ht="23.25" customHeight="1">
      <c r="A918" s="81"/>
      <c r="B918" s="81"/>
      <c r="C918" s="73">
        <f>13926+7283+7283+7283+7283+7283+7853+7853+7853</f>
        <v>73900</v>
      </c>
      <c r="D918" s="82" t="s">
        <v>238</v>
      </c>
      <c r="E918" s="45"/>
      <c r="F918" s="70"/>
      <c r="G918" s="70"/>
      <c r="H918" s="74">
        <v>230000</v>
      </c>
      <c r="I918" s="73">
        <v>7853</v>
      </c>
    </row>
    <row r="919" spans="1:9" ht="23.25" customHeight="1">
      <c r="A919" s="81"/>
      <c r="B919" s="81"/>
      <c r="C919" s="73">
        <f>1180000+100000</f>
        <v>1280000</v>
      </c>
      <c r="D919" s="82" t="s">
        <v>351</v>
      </c>
      <c r="E919" s="45"/>
      <c r="F919" s="70"/>
      <c r="G919" s="70"/>
      <c r="H919" s="74"/>
      <c r="I919" s="73">
        <v>100000</v>
      </c>
    </row>
    <row r="920" spans="1:9" ht="23.25" customHeight="1">
      <c r="A920" s="81"/>
      <c r="B920" s="81"/>
      <c r="C920" s="73">
        <v>50000</v>
      </c>
      <c r="D920" s="155" t="s">
        <v>428</v>
      </c>
      <c r="E920" s="45"/>
      <c r="F920" s="70"/>
      <c r="G920" s="70"/>
      <c r="H920" s="74"/>
      <c r="I920" s="73">
        <v>50000</v>
      </c>
    </row>
    <row r="921" spans="1:9" ht="23.25" customHeight="1">
      <c r="A921" s="81"/>
      <c r="B921" s="81"/>
      <c r="C921" s="73">
        <v>100000</v>
      </c>
      <c r="D921" s="82" t="s">
        <v>77</v>
      </c>
      <c r="E921" s="45"/>
      <c r="F921" s="70"/>
      <c r="G921" s="70"/>
      <c r="H921" s="74">
        <v>110605</v>
      </c>
      <c r="I921" s="73">
        <v>0</v>
      </c>
    </row>
    <row r="922" spans="1:9" ht="23.25" customHeight="1">
      <c r="A922" s="81"/>
      <c r="B922" s="81"/>
      <c r="C922" s="77">
        <f>29388+51250+29187+29374+36674+35572+31572+31800+30900+43995</f>
        <v>349712</v>
      </c>
      <c r="D922" s="213" t="s">
        <v>239</v>
      </c>
      <c r="E922" s="45"/>
      <c r="F922" s="34"/>
      <c r="G922" s="34"/>
      <c r="H922" s="214"/>
      <c r="I922" s="47">
        <v>43995</v>
      </c>
    </row>
    <row r="923" spans="1:9" ht="23.25" customHeight="1">
      <c r="A923" s="81"/>
      <c r="B923" s="81"/>
      <c r="C923" s="77">
        <f>63100+63100+63100+57400+46000+43000+31700+31700+36700+36700</f>
        <v>472500</v>
      </c>
      <c r="D923" s="213" t="s">
        <v>240</v>
      </c>
      <c r="E923" s="45"/>
      <c r="F923" s="34"/>
      <c r="G923" s="34"/>
      <c r="H923" s="214"/>
      <c r="I923" s="47">
        <v>36700</v>
      </c>
    </row>
    <row r="924" spans="1:9" ht="23.25" customHeight="1">
      <c r="A924" s="81"/>
      <c r="B924" s="81"/>
      <c r="C924" s="77">
        <f>81086+54466+78186+74435+74435+67877+64788+38168+64788+64764</f>
        <v>662993</v>
      </c>
      <c r="D924" s="213" t="s">
        <v>241</v>
      </c>
      <c r="E924" s="45"/>
      <c r="F924" s="34"/>
      <c r="G924" s="34"/>
      <c r="H924" s="214"/>
      <c r="I924" s="47">
        <v>64764</v>
      </c>
    </row>
    <row r="925" spans="1:9" ht="23.25" customHeight="1">
      <c r="A925" s="81"/>
      <c r="B925" s="81"/>
      <c r="C925" s="77">
        <f>22027+22027+27315+27212+27351+25651+29045+29104+28521+28857</f>
        <v>267110</v>
      </c>
      <c r="D925" s="213" t="s">
        <v>242</v>
      </c>
      <c r="E925" s="45"/>
      <c r="F925" s="34"/>
      <c r="G925" s="34"/>
      <c r="H925" s="214"/>
      <c r="I925" s="47">
        <v>28857</v>
      </c>
    </row>
    <row r="926" spans="1:9" ht="23.25" customHeight="1">
      <c r="A926" s="81"/>
      <c r="B926" s="81"/>
      <c r="C926" s="73"/>
      <c r="D926" s="82"/>
      <c r="E926" s="45"/>
      <c r="F926" s="70"/>
      <c r="G926" s="70"/>
      <c r="H926" s="74"/>
      <c r="I926" s="73"/>
    </row>
    <row r="927" spans="1:9" ht="23.25" customHeight="1">
      <c r="A927" s="85"/>
      <c r="B927" s="85"/>
      <c r="C927" s="86">
        <f>SUM(C911:C926)</f>
        <v>9596388.91</v>
      </c>
      <c r="D927" s="82"/>
      <c r="E927" s="45"/>
      <c r="F927" s="70"/>
      <c r="G927" s="70"/>
      <c r="H927" s="87"/>
      <c r="I927" s="88">
        <f>SUM(I911:I926)</f>
        <v>758790.69</v>
      </c>
    </row>
    <row r="928" spans="1:9" ht="23.25" customHeight="1" thickBot="1">
      <c r="A928" s="89">
        <f>SUM(A910)</f>
        <v>27650000</v>
      </c>
      <c r="B928" s="89"/>
      <c r="C928" s="90">
        <f>SUM(C910+C927)</f>
        <v>27884615.85</v>
      </c>
      <c r="D928" s="333" t="s">
        <v>94</v>
      </c>
      <c r="E928" s="333"/>
      <c r="F928" s="333"/>
      <c r="G928" s="333"/>
      <c r="H928" s="34"/>
      <c r="I928" s="90">
        <f>SUM(I910+I927)</f>
        <v>2728964.4699999997</v>
      </c>
    </row>
    <row r="929" spans="1:9" ht="23.25" customHeight="1" thickTop="1">
      <c r="A929" s="70"/>
      <c r="B929" s="70"/>
      <c r="C929" s="68"/>
      <c r="D929" s="333" t="s">
        <v>95</v>
      </c>
      <c r="E929" s="333"/>
      <c r="F929" s="333"/>
      <c r="G929" s="333"/>
      <c r="H929" s="70"/>
      <c r="I929" s="91"/>
    </row>
    <row r="930" spans="1:9" ht="23.25" customHeight="1">
      <c r="A930" s="70"/>
      <c r="B930" s="70"/>
      <c r="C930" s="68"/>
      <c r="D930" s="333" t="s">
        <v>96</v>
      </c>
      <c r="E930" s="333"/>
      <c r="F930" s="333"/>
      <c r="G930" s="333"/>
      <c r="H930" s="70"/>
      <c r="I930" s="91"/>
    </row>
    <row r="931" spans="1:9" ht="23.25" customHeight="1">
      <c r="A931" s="69"/>
      <c r="B931" s="69"/>
      <c r="C931" s="92">
        <f>C878-C928</f>
        <v>1098214.6000000015</v>
      </c>
      <c r="D931" s="348" t="s">
        <v>98</v>
      </c>
      <c r="E931" s="348"/>
      <c r="F931" s="348"/>
      <c r="G931" s="348"/>
      <c r="H931" s="69"/>
      <c r="I931" s="92">
        <f>I878-I928</f>
        <v>117187.95000000019</v>
      </c>
    </row>
    <row r="932" spans="1:11" ht="23.25" customHeight="1">
      <c r="A932" s="69"/>
      <c r="B932" s="69"/>
      <c r="C932" s="95">
        <f>SUM(C850+C878-C928)</f>
        <v>12390141.090000004</v>
      </c>
      <c r="D932" s="348" t="s">
        <v>97</v>
      </c>
      <c r="E932" s="348"/>
      <c r="F932" s="348"/>
      <c r="G932" s="348"/>
      <c r="H932" s="69"/>
      <c r="I932" s="95">
        <f>SUM(I850+I878-I928)</f>
        <v>12390141.09</v>
      </c>
      <c r="K932" s="51"/>
    </row>
    <row r="933" spans="1:9" ht="23.25" customHeight="1">
      <c r="A933" s="69"/>
      <c r="B933" s="69"/>
      <c r="C933" s="217"/>
      <c r="D933" s="206"/>
      <c r="E933" s="206"/>
      <c r="F933" s="206"/>
      <c r="G933" s="206"/>
      <c r="H933" s="69"/>
      <c r="I933" s="217"/>
    </row>
    <row r="934" spans="1:9" ht="23.25" customHeight="1">
      <c r="A934" s="349" t="s">
        <v>262</v>
      </c>
      <c r="B934" s="349"/>
      <c r="C934" s="349"/>
      <c r="D934" s="349" t="s">
        <v>263</v>
      </c>
      <c r="E934" s="349"/>
      <c r="F934" s="349"/>
      <c r="G934" s="349" t="s">
        <v>5</v>
      </c>
      <c r="H934" s="349"/>
      <c r="I934" s="349"/>
    </row>
    <row r="935" spans="1:9" ht="23.25" customHeight="1">
      <c r="A935" s="349" t="s">
        <v>430</v>
      </c>
      <c r="B935" s="349"/>
      <c r="C935" s="349"/>
      <c r="D935" s="333" t="s">
        <v>126</v>
      </c>
      <c r="E935" s="333"/>
      <c r="F935" s="333"/>
      <c r="G935" s="333" t="s">
        <v>264</v>
      </c>
      <c r="H935" s="333"/>
      <c r="I935" s="333"/>
    </row>
    <row r="936" spans="1:9" ht="23.25" customHeight="1">
      <c r="A936" s="346" t="s">
        <v>431</v>
      </c>
      <c r="B936" s="346"/>
      <c r="C936" s="346"/>
      <c r="D936" s="347" t="s">
        <v>127</v>
      </c>
      <c r="E936" s="347"/>
      <c r="F936" s="347"/>
      <c r="G936" s="347" t="s">
        <v>265</v>
      </c>
      <c r="H936" s="347"/>
      <c r="I936" s="347"/>
    </row>
    <row r="937" spans="1:6" ht="23.25" customHeight="1">
      <c r="A937" s="346" t="s">
        <v>261</v>
      </c>
      <c r="B937" s="346"/>
      <c r="C937" s="346"/>
      <c r="D937" s="97"/>
      <c r="E937" s="97"/>
      <c r="F937" s="97"/>
    </row>
    <row r="938" spans="1:9" ht="23.25" customHeight="1">
      <c r="A938" s="335" t="s">
        <v>132</v>
      </c>
      <c r="B938" s="335"/>
      <c r="C938" s="335"/>
      <c r="D938" s="335"/>
      <c r="E938" s="335"/>
      <c r="F938" s="335"/>
      <c r="G938" s="335"/>
      <c r="H938" s="335"/>
      <c r="I938" s="335"/>
    </row>
    <row r="939" spans="1:9" ht="23.25" customHeight="1">
      <c r="A939" s="348" t="s">
        <v>102</v>
      </c>
      <c r="B939" s="348"/>
      <c r="C939" s="348"/>
      <c r="D939" s="348"/>
      <c r="E939" s="348"/>
      <c r="F939" s="348"/>
      <c r="G939" s="348"/>
      <c r="H939" s="348"/>
      <c r="I939" s="348"/>
    </row>
    <row r="940" spans="1:9" ht="23.25" customHeight="1" thickBot="1">
      <c r="A940" s="206"/>
      <c r="B940" s="354" t="s">
        <v>593</v>
      </c>
      <c r="C940" s="354"/>
      <c r="D940" s="354"/>
      <c r="E940" s="354"/>
      <c r="F940" s="354"/>
      <c r="G940" s="354"/>
      <c r="H940" s="354"/>
      <c r="I940" s="206"/>
    </row>
    <row r="941" spans="1:9" ht="23.25" customHeight="1" thickBot="1">
      <c r="A941" s="355" t="s">
        <v>84</v>
      </c>
      <c r="B941" s="356"/>
      <c r="C941" s="357"/>
      <c r="D941" s="358" t="s">
        <v>78</v>
      </c>
      <c r="E941" s="359"/>
      <c r="F941" s="359"/>
      <c r="G941" s="360"/>
      <c r="H941" s="21" t="s">
        <v>86</v>
      </c>
      <c r="I941" s="22" t="s">
        <v>88</v>
      </c>
    </row>
    <row r="942" spans="1:9" ht="23.25" customHeight="1">
      <c r="A942" s="21" t="s">
        <v>39</v>
      </c>
      <c r="B942" s="21" t="s">
        <v>228</v>
      </c>
      <c r="C942" s="21" t="s">
        <v>85</v>
      </c>
      <c r="D942" s="361"/>
      <c r="E942" s="362"/>
      <c r="F942" s="362"/>
      <c r="G942" s="363"/>
      <c r="H942" s="23" t="s">
        <v>87</v>
      </c>
      <c r="I942" s="21" t="s">
        <v>85</v>
      </c>
    </row>
    <row r="943" spans="1:9" ht="23.25" customHeight="1" thickBot="1">
      <c r="A943" s="24" t="s">
        <v>40</v>
      </c>
      <c r="B943" s="212" t="s">
        <v>229</v>
      </c>
      <c r="C943" s="24" t="s">
        <v>40</v>
      </c>
      <c r="D943" s="364"/>
      <c r="E943" s="365"/>
      <c r="F943" s="365"/>
      <c r="G943" s="366"/>
      <c r="H943" s="25"/>
      <c r="I943" s="24" t="s">
        <v>40</v>
      </c>
    </row>
    <row r="944" spans="1:9" ht="23.25" customHeight="1">
      <c r="A944" s="26"/>
      <c r="B944" s="26"/>
      <c r="C944" s="27">
        <v>11291926.49</v>
      </c>
      <c r="D944" s="28" t="s">
        <v>99</v>
      </c>
      <c r="E944" s="29"/>
      <c r="F944" s="29"/>
      <c r="G944" s="30"/>
      <c r="H944" s="31"/>
      <c r="I944" s="205">
        <f>I932</f>
        <v>12390141.09</v>
      </c>
    </row>
    <row r="945" spans="1:9" ht="23.25" customHeight="1">
      <c r="A945" s="26"/>
      <c r="B945" s="26"/>
      <c r="C945" s="32"/>
      <c r="D945" s="33" t="s">
        <v>89</v>
      </c>
      <c r="E945" s="34"/>
      <c r="F945" s="34"/>
      <c r="G945" s="35"/>
      <c r="H945" s="37"/>
      <c r="I945" s="39"/>
    </row>
    <row r="946" spans="1:9" ht="23.25" customHeight="1">
      <c r="A946" s="36">
        <v>58000</v>
      </c>
      <c r="B946" s="36"/>
      <c r="C946" s="36">
        <f>11293.82+43012.69+6286.5+3896.84+6700.36+722.1+1262.12+262.7</f>
        <v>73437.13</v>
      </c>
      <c r="D946" s="37" t="s">
        <v>41</v>
      </c>
      <c r="E946" s="34"/>
      <c r="F946" s="34"/>
      <c r="G946" s="35"/>
      <c r="H946" s="38">
        <v>411000</v>
      </c>
      <c r="I946" s="39">
        <v>262.7</v>
      </c>
    </row>
    <row r="947" spans="1:9" ht="23.25" customHeight="1">
      <c r="A947" s="36">
        <v>26000</v>
      </c>
      <c r="B947" s="36"/>
      <c r="C947" s="36">
        <f>1636.4+2740+6047.6+500+1326.6+50+302+2847.6+933.4+10208.4</f>
        <v>26592</v>
      </c>
      <c r="D947" s="37" t="s">
        <v>90</v>
      </c>
      <c r="E947" s="34"/>
      <c r="F947" s="34"/>
      <c r="G947" s="35"/>
      <c r="H947" s="38">
        <v>412000</v>
      </c>
      <c r="I947" s="36">
        <v>10208.4</v>
      </c>
    </row>
    <row r="948" spans="1:9" ht="23.25" customHeight="1">
      <c r="A948" s="36">
        <v>70000</v>
      </c>
      <c r="B948" s="36"/>
      <c r="C948" s="36">
        <v>23672.04</v>
      </c>
      <c r="D948" s="37" t="s">
        <v>42</v>
      </c>
      <c r="E948" s="34"/>
      <c r="F948" s="34"/>
      <c r="G948" s="35"/>
      <c r="H948" s="38">
        <v>413000</v>
      </c>
      <c r="I948" s="36"/>
    </row>
    <row r="949" spans="1:9" ht="23.25" customHeight="1">
      <c r="A949" s="36">
        <v>41000</v>
      </c>
      <c r="B949" s="36"/>
      <c r="C949" s="36">
        <f>819.4+12550+100</f>
        <v>13469.4</v>
      </c>
      <c r="D949" s="37" t="s">
        <v>43</v>
      </c>
      <c r="E949" s="34"/>
      <c r="F949" s="34"/>
      <c r="G949" s="35"/>
      <c r="H949" s="38">
        <v>415000</v>
      </c>
      <c r="I949" s="39"/>
    </row>
    <row r="950" spans="1:9" ht="23.25" customHeight="1">
      <c r="A950" s="36">
        <v>13150500</v>
      </c>
      <c r="B950" s="36"/>
      <c r="C950" s="36">
        <f>788344.77+1330617.03+1065104.85+446671.74+1157541.33+1874565.16+452109.7+1965434.07+1321720.05+429562.67+1270788.04</f>
        <v>12102459.41</v>
      </c>
      <c r="D950" s="37" t="s">
        <v>44</v>
      </c>
      <c r="E950" s="34"/>
      <c r="F950" s="34"/>
      <c r="G950" s="35"/>
      <c r="H950" s="40">
        <v>420000</v>
      </c>
      <c r="I950" s="39">
        <v>1270788.04</v>
      </c>
    </row>
    <row r="951" spans="1:9" ht="23.25" customHeight="1">
      <c r="A951" s="36">
        <v>14304500</v>
      </c>
      <c r="B951" s="36"/>
      <c r="C951" s="36">
        <f>3261953+3161934+1819113+114000+1728025</f>
        <v>10085025</v>
      </c>
      <c r="D951" s="37" t="s">
        <v>101</v>
      </c>
      <c r="E951" s="34"/>
      <c r="F951" s="34"/>
      <c r="G951" s="35"/>
      <c r="H951" s="40">
        <v>430000</v>
      </c>
      <c r="I951" s="39">
        <v>0</v>
      </c>
    </row>
    <row r="952" spans="1:9" ht="23.25" customHeight="1" thickBot="1">
      <c r="A952" s="41">
        <f>SUM(A946:A951)</f>
        <v>27650000</v>
      </c>
      <c r="B952" s="41"/>
      <c r="C952" s="42">
        <f>SUM(C946:C951)</f>
        <v>22324654.98</v>
      </c>
      <c r="D952" s="37"/>
      <c r="E952" s="34"/>
      <c r="F952" s="34"/>
      <c r="G952" s="35"/>
      <c r="H952" s="40"/>
      <c r="I952" s="41">
        <f>SUM(I946:I951)</f>
        <v>1281259.1400000001</v>
      </c>
    </row>
    <row r="953" spans="1:9" ht="23.25" customHeight="1" thickTop="1">
      <c r="A953" s="36"/>
      <c r="B953" s="36"/>
      <c r="C953" s="36">
        <v>2566</v>
      </c>
      <c r="D953" s="37" t="s">
        <v>231</v>
      </c>
      <c r="E953" s="34"/>
      <c r="F953" s="34"/>
      <c r="G953" s="35"/>
      <c r="H953" s="40">
        <v>110605</v>
      </c>
      <c r="I953" s="36"/>
    </row>
    <row r="954" spans="1:9" ht="23.25" customHeight="1">
      <c r="A954" s="36"/>
      <c r="B954" s="36"/>
      <c r="C954" s="36">
        <f>440600+564400+422000+423200+672100+422400+420300+418600+419200+416400</f>
        <v>4619200</v>
      </c>
      <c r="D954" s="37" t="s">
        <v>103</v>
      </c>
      <c r="E954" s="34"/>
      <c r="F954" s="34"/>
      <c r="G954" s="35"/>
      <c r="H954" s="40"/>
      <c r="I954" s="36">
        <v>416400</v>
      </c>
    </row>
    <row r="955" spans="1:9" ht="23.25" customHeight="1">
      <c r="A955" s="26"/>
      <c r="B955" s="26"/>
      <c r="C955" s="43">
        <f>5599.5+4923.02+13007.36+2976.64+3515.79+8965.37+4612.69+3671.78+2471.69+4919.6+7194.35</f>
        <v>61857.79</v>
      </c>
      <c r="D955" s="44" t="s">
        <v>232</v>
      </c>
      <c r="E955" s="45"/>
      <c r="F955" s="34"/>
      <c r="G955" s="35"/>
      <c r="H955" s="40"/>
      <c r="I955" s="46">
        <v>7194.35</v>
      </c>
    </row>
    <row r="956" spans="1:9" ht="23.25" customHeight="1">
      <c r="A956" s="26"/>
      <c r="B956" s="26"/>
      <c r="C956" s="43">
        <f>429650</f>
        <v>429650</v>
      </c>
      <c r="D956" s="44" t="s">
        <v>233</v>
      </c>
      <c r="E956" s="45"/>
      <c r="F956" s="34"/>
      <c r="G956" s="47"/>
      <c r="H956" s="40"/>
      <c r="I956" s="48"/>
    </row>
    <row r="957" spans="1:9" ht="23.25" customHeight="1">
      <c r="A957" s="26"/>
      <c r="B957" s="26"/>
      <c r="C957" s="43">
        <f>7213+6713+7283+7283+7283+7283+7283+7853+7853+7853+7853</f>
        <v>81753</v>
      </c>
      <c r="D957" s="44" t="s">
        <v>234</v>
      </c>
      <c r="E957" s="45"/>
      <c r="F957" s="34"/>
      <c r="G957" s="35"/>
      <c r="H957" s="49"/>
      <c r="I957" s="48">
        <v>7853</v>
      </c>
    </row>
    <row r="958" spans="1:9" ht="23.25" customHeight="1">
      <c r="A958" s="26"/>
      <c r="B958" s="26"/>
      <c r="C958" s="43">
        <f>C864+16.8</f>
        <v>2802.37</v>
      </c>
      <c r="D958" s="82" t="s">
        <v>407</v>
      </c>
      <c r="E958" s="45"/>
      <c r="F958" s="34"/>
      <c r="G958" s="35"/>
      <c r="H958" s="49"/>
      <c r="I958" s="48">
        <v>16.8</v>
      </c>
    </row>
    <row r="959" spans="1:9" ht="23.25" customHeight="1">
      <c r="A959" s="26"/>
      <c r="B959" s="26"/>
      <c r="C959" s="43">
        <f>320000+80000+110000</f>
        <v>510000</v>
      </c>
      <c r="D959" s="82" t="s">
        <v>351</v>
      </c>
      <c r="E959" s="45"/>
      <c r="F959" s="34"/>
      <c r="G959" s="35"/>
      <c r="H959" s="49"/>
      <c r="I959" s="48">
        <v>110000</v>
      </c>
    </row>
    <row r="960" spans="1:9" ht="23.25" customHeight="1">
      <c r="A960" s="26"/>
      <c r="B960" s="26"/>
      <c r="C960" s="43">
        <v>4.07</v>
      </c>
      <c r="D960" s="13" t="s">
        <v>173</v>
      </c>
      <c r="E960" s="45"/>
      <c r="F960" s="34"/>
      <c r="G960" s="35"/>
      <c r="H960" s="49"/>
      <c r="I960" s="48"/>
    </row>
    <row r="961" spans="1:9" ht="23.25" customHeight="1">
      <c r="A961" s="26"/>
      <c r="B961" s="26"/>
      <c r="C961" s="43">
        <f>C867</f>
        <v>880468.4299999999</v>
      </c>
      <c r="D961" s="44" t="s">
        <v>235</v>
      </c>
      <c r="E961" s="45"/>
      <c r="F961" s="34"/>
      <c r="G961" s="35"/>
      <c r="H961" s="40"/>
      <c r="I961" s="48">
        <v>0</v>
      </c>
    </row>
    <row r="962" spans="1:9" ht="23.25" customHeight="1">
      <c r="A962" s="26"/>
      <c r="B962" s="26"/>
      <c r="C962" s="43">
        <f>24450+13875+8450+11600+19625+12275+131400</f>
        <v>221675</v>
      </c>
      <c r="D962" s="44" t="s">
        <v>236</v>
      </c>
      <c r="E962" s="45"/>
      <c r="F962" s="34"/>
      <c r="G962" s="35"/>
      <c r="H962" s="40"/>
      <c r="I962" s="48">
        <v>131400</v>
      </c>
    </row>
    <row r="963" spans="1:9" ht="23.25" customHeight="1">
      <c r="A963" s="26"/>
      <c r="B963" s="26"/>
      <c r="C963" s="43">
        <f>29388+51250+29187+29374+36674+35572+31572+31800+30900+43995+54980</f>
        <v>404692</v>
      </c>
      <c r="D963" s="44" t="s">
        <v>239</v>
      </c>
      <c r="E963" s="45"/>
      <c r="F963" s="34"/>
      <c r="G963" s="35"/>
      <c r="H963" s="40"/>
      <c r="I963" s="48">
        <v>54980</v>
      </c>
    </row>
    <row r="964" spans="1:9" ht="23.25" customHeight="1">
      <c r="A964" s="26"/>
      <c r="B964" s="26"/>
      <c r="C964" s="43">
        <f>63100+63100+63100+57400+46000+43000+31700+31700+36700+36700+36700</f>
        <v>509200</v>
      </c>
      <c r="D964" s="44" t="s">
        <v>240</v>
      </c>
      <c r="E964" s="45"/>
      <c r="F964" s="34"/>
      <c r="G964" s="34"/>
      <c r="H964" s="40"/>
      <c r="I964" s="47">
        <v>36700</v>
      </c>
    </row>
    <row r="965" spans="1:9" ht="23.25" customHeight="1">
      <c r="A965" s="26"/>
      <c r="B965" s="26"/>
      <c r="C965" s="43">
        <f>81086+54466+78186+74435+74435+67877+64788+38168+64788+64764+34877</f>
        <v>697870</v>
      </c>
      <c r="D965" s="44" t="s">
        <v>241</v>
      </c>
      <c r="E965" s="45"/>
      <c r="F965" s="34"/>
      <c r="G965" s="34"/>
      <c r="H965" s="40"/>
      <c r="I965" s="47">
        <v>34877</v>
      </c>
    </row>
    <row r="966" spans="1:9" ht="23.25" customHeight="1">
      <c r="A966" s="26"/>
      <c r="B966" s="26"/>
      <c r="C966" s="43">
        <f>22027+22027+27315+27212+27351+25651+29045+29104+28521+28857+30069</f>
        <v>297179</v>
      </c>
      <c r="D966" s="44" t="s">
        <v>242</v>
      </c>
      <c r="E966" s="45"/>
      <c r="F966" s="34"/>
      <c r="G966" s="34"/>
      <c r="H966" s="40"/>
      <c r="I966" s="47">
        <v>30069</v>
      </c>
    </row>
    <row r="967" spans="1:9" ht="23.25" customHeight="1">
      <c r="A967" s="26"/>
      <c r="B967" s="26"/>
      <c r="C967" s="43">
        <v>50000</v>
      </c>
      <c r="D967" s="155" t="s">
        <v>428</v>
      </c>
      <c r="E967" s="45"/>
      <c r="F967" s="34"/>
      <c r="G967" s="34"/>
      <c r="H967" s="40"/>
      <c r="I967" s="47"/>
    </row>
    <row r="968" spans="1:9" ht="23.25" customHeight="1">
      <c r="A968" s="26"/>
      <c r="B968" s="26"/>
      <c r="C968" s="43"/>
      <c r="D968" s="156" t="s">
        <v>429</v>
      </c>
      <c r="E968" s="45"/>
      <c r="F968" s="34"/>
      <c r="G968" s="34"/>
      <c r="H968" s="40"/>
      <c r="I968" s="47"/>
    </row>
    <row r="969" spans="1:9" ht="23.25" customHeight="1">
      <c r="A969" s="26"/>
      <c r="B969" s="26"/>
      <c r="C969" s="43">
        <f>7.1+5762.17</f>
        <v>5769.27</v>
      </c>
      <c r="D969" s="44" t="s">
        <v>38</v>
      </c>
      <c r="E969" s="45"/>
      <c r="F969" s="34"/>
      <c r="G969" s="34"/>
      <c r="H969" s="40"/>
      <c r="I969" s="47">
        <v>5762.17</v>
      </c>
    </row>
    <row r="970" spans="1:9" ht="23.25" customHeight="1">
      <c r="A970" s="26"/>
      <c r="B970" s="26"/>
      <c r="C970" s="43"/>
      <c r="D970" s="44"/>
      <c r="E970" s="45"/>
      <c r="F970" s="34"/>
      <c r="G970" s="34"/>
      <c r="H970" s="40"/>
      <c r="I970" s="47"/>
    </row>
    <row r="971" spans="1:9" ht="23.25" customHeight="1" thickBot="1">
      <c r="A971" s="26"/>
      <c r="B971" s="26"/>
      <c r="C971" s="52">
        <f>SUM(C953:C970)</f>
        <v>8774686.93</v>
      </c>
      <c r="D971" s="37"/>
      <c r="E971" s="34"/>
      <c r="F971" s="34"/>
      <c r="G971" s="34"/>
      <c r="H971" s="35"/>
      <c r="I971" s="54">
        <f>SUM(I953:I969)</f>
        <v>835252.32</v>
      </c>
    </row>
    <row r="972" spans="1:9" ht="23.25" customHeight="1" thickBot="1">
      <c r="A972" s="55">
        <f>SUM(A952)</f>
        <v>27650000</v>
      </c>
      <c r="B972" s="211"/>
      <c r="C972" s="41">
        <f>SUM(C952+C971)</f>
        <v>31099341.91</v>
      </c>
      <c r="D972" s="37"/>
      <c r="E972" s="34"/>
      <c r="F972" s="56" t="s">
        <v>106</v>
      </c>
      <c r="G972" s="34"/>
      <c r="H972" s="35"/>
      <c r="I972" s="41">
        <f>SUM(I952+I971)</f>
        <v>2116511.46</v>
      </c>
    </row>
    <row r="973" spans="1:9" ht="23.25" customHeight="1">
      <c r="A973" s="57"/>
      <c r="B973" s="57"/>
      <c r="C973" s="57"/>
      <c r="D973" s="34"/>
      <c r="E973" s="34"/>
      <c r="F973" s="56"/>
      <c r="G973" s="34"/>
      <c r="H973" s="34"/>
      <c r="I973" s="57"/>
    </row>
    <row r="974" spans="1:9" ht="23.25" customHeight="1">
      <c r="A974" s="57"/>
      <c r="B974" s="57"/>
      <c r="C974" s="57"/>
      <c r="D974" s="34"/>
      <c r="E974" s="34"/>
      <c r="F974" s="56"/>
      <c r="G974" s="34"/>
      <c r="H974" s="34"/>
      <c r="I974" s="57"/>
    </row>
    <row r="975" spans="1:9" ht="23.25" customHeight="1">
      <c r="A975" s="57"/>
      <c r="B975" s="57"/>
      <c r="C975" s="57"/>
      <c r="D975" s="34"/>
      <c r="E975" s="34"/>
      <c r="F975" s="56"/>
      <c r="G975" s="34"/>
      <c r="H975" s="34"/>
      <c r="I975" s="57"/>
    </row>
    <row r="976" spans="1:9" ht="23.25" customHeight="1">
      <c r="A976" s="57"/>
      <c r="B976" s="57"/>
      <c r="C976" s="57"/>
      <c r="D976" s="34"/>
      <c r="E976" s="34"/>
      <c r="F976" s="56"/>
      <c r="G976" s="34"/>
      <c r="H976" s="34"/>
      <c r="I976" s="57"/>
    </row>
    <row r="977" spans="1:9" ht="23.25" customHeight="1">
      <c r="A977" s="57"/>
      <c r="B977" s="57"/>
      <c r="C977" s="57"/>
      <c r="D977" s="34"/>
      <c r="E977" s="34"/>
      <c r="F977" s="56"/>
      <c r="G977" s="34"/>
      <c r="H977" s="34"/>
      <c r="I977" s="57"/>
    </row>
    <row r="978" spans="1:9" ht="23.25" customHeight="1">
      <c r="A978" s="57"/>
      <c r="B978" s="57"/>
      <c r="C978" s="57"/>
      <c r="D978" s="34"/>
      <c r="E978" s="34"/>
      <c r="F978" s="56"/>
      <c r="G978" s="34"/>
      <c r="H978" s="34"/>
      <c r="I978" s="57"/>
    </row>
    <row r="979" spans="1:9" ht="23.25" customHeight="1">
      <c r="A979" s="57"/>
      <c r="B979" s="57"/>
      <c r="C979" s="57"/>
      <c r="D979" s="34"/>
      <c r="E979" s="34"/>
      <c r="F979" s="56"/>
      <c r="G979" s="34"/>
      <c r="H979" s="34"/>
      <c r="I979" s="57"/>
    </row>
    <row r="980" spans="1:9" ht="23.25" customHeight="1">
      <c r="A980" s="57"/>
      <c r="B980" s="57"/>
      <c r="C980" s="57"/>
      <c r="D980" s="34"/>
      <c r="E980" s="34"/>
      <c r="F980" s="56"/>
      <c r="G980" s="34"/>
      <c r="H980" s="34"/>
      <c r="I980" s="57"/>
    </row>
    <row r="981" spans="1:9" ht="23.25" customHeight="1">
      <c r="A981" s="57"/>
      <c r="B981" s="57"/>
      <c r="C981" s="57"/>
      <c r="D981" s="34"/>
      <c r="E981" s="34"/>
      <c r="F981" s="56"/>
      <c r="G981" s="34"/>
      <c r="H981" s="34"/>
      <c r="I981" s="57"/>
    </row>
    <row r="982" spans="1:9" ht="23.25" customHeight="1">
      <c r="A982" s="57"/>
      <c r="B982" s="57"/>
      <c r="C982" s="57"/>
      <c r="D982" s="34"/>
      <c r="E982" s="34"/>
      <c r="F982" s="56"/>
      <c r="G982" s="34"/>
      <c r="H982" s="34"/>
      <c r="I982" s="57"/>
    </row>
    <row r="983" spans="1:9" ht="23.25" customHeight="1">
      <c r="A983" s="57"/>
      <c r="B983" s="57"/>
      <c r="C983" s="57"/>
      <c r="D983" s="34"/>
      <c r="E983" s="34"/>
      <c r="F983" s="56"/>
      <c r="G983" s="34"/>
      <c r="H983" s="34"/>
      <c r="I983" s="57"/>
    </row>
    <row r="984" spans="1:9" ht="23.25" customHeight="1">
      <c r="A984" s="57"/>
      <c r="B984" s="57"/>
      <c r="C984" s="57"/>
      <c r="D984" s="34"/>
      <c r="E984" s="34"/>
      <c r="F984" s="56"/>
      <c r="G984" s="34"/>
      <c r="H984" s="34"/>
      <c r="I984" s="57"/>
    </row>
    <row r="985" spans="1:9" ht="23.25" customHeight="1">
      <c r="A985" s="333">
        <v>2</v>
      </c>
      <c r="B985" s="333"/>
      <c r="C985" s="333"/>
      <c r="D985" s="333"/>
      <c r="E985" s="333"/>
      <c r="F985" s="333"/>
      <c r="G985" s="333"/>
      <c r="H985" s="333"/>
      <c r="I985" s="333"/>
    </row>
    <row r="986" spans="1:9" ht="23.25" customHeight="1">
      <c r="A986" s="350" t="s">
        <v>91</v>
      </c>
      <c r="B986" s="351"/>
      <c r="C986" s="352"/>
      <c r="D986" s="58"/>
      <c r="E986" s="58"/>
      <c r="F986" s="58"/>
      <c r="G986" s="58"/>
      <c r="H986" s="59" t="s">
        <v>86</v>
      </c>
      <c r="I986" s="60" t="s">
        <v>88</v>
      </c>
    </row>
    <row r="987" spans="1:9" ht="23.25" customHeight="1">
      <c r="A987" s="59" t="s">
        <v>39</v>
      </c>
      <c r="B987" s="59" t="s">
        <v>228</v>
      </c>
      <c r="C987" s="59" t="s">
        <v>85</v>
      </c>
      <c r="D987" s="353" t="s">
        <v>78</v>
      </c>
      <c r="E987" s="353"/>
      <c r="F987" s="353"/>
      <c r="G987" s="353"/>
      <c r="H987" s="62" t="s">
        <v>87</v>
      </c>
      <c r="I987" s="59" t="s">
        <v>85</v>
      </c>
    </row>
    <row r="988" spans="1:9" ht="23.25" customHeight="1">
      <c r="A988" s="64" t="s">
        <v>40</v>
      </c>
      <c r="B988" s="216" t="s">
        <v>229</v>
      </c>
      <c r="C988" s="64" t="s">
        <v>40</v>
      </c>
      <c r="D988" s="65"/>
      <c r="E988" s="65"/>
      <c r="F988" s="65"/>
      <c r="G988" s="65"/>
      <c r="H988" s="66"/>
      <c r="I988" s="64" t="s">
        <v>40</v>
      </c>
    </row>
    <row r="989" spans="1:9" ht="23.25" customHeight="1">
      <c r="A989" s="68"/>
      <c r="B989" s="68"/>
      <c r="C989" s="68"/>
      <c r="D989" s="69" t="s">
        <v>92</v>
      </c>
      <c r="E989" s="70"/>
      <c r="F989" s="70"/>
      <c r="G989" s="70"/>
      <c r="H989" s="71"/>
      <c r="I989" s="72"/>
    </row>
    <row r="990" spans="1:9" ht="23.25" customHeight="1">
      <c r="A990" s="73">
        <v>6761806</v>
      </c>
      <c r="B990" s="73"/>
      <c r="C990" s="73">
        <f>572455+479826+930683+589283+440683+440683+519583+439953+440453+440253+439653</f>
        <v>5733508</v>
      </c>
      <c r="D990" s="70" t="s">
        <v>45</v>
      </c>
      <c r="F990" s="70"/>
      <c r="G990" s="70"/>
      <c r="H990" s="74">
        <v>510000</v>
      </c>
      <c r="I990" s="73">
        <v>439653</v>
      </c>
    </row>
    <row r="991" spans="1:9" ht="23.25" customHeight="1">
      <c r="A991" s="73">
        <v>2484720</v>
      </c>
      <c r="B991" s="73"/>
      <c r="C991" s="73">
        <f>I991+207060+207060+207060+207060+207060+207060+207060+207060+207060+207060</f>
        <v>2277660</v>
      </c>
      <c r="D991" s="70" t="s">
        <v>135</v>
      </c>
      <c r="F991" s="70"/>
      <c r="G991" s="70"/>
      <c r="H991" s="74">
        <v>521000</v>
      </c>
      <c r="I991" s="75">
        <v>207060</v>
      </c>
    </row>
    <row r="992" spans="1:9" ht="23.25" customHeight="1">
      <c r="A992" s="73">
        <f>5864260-162420</f>
        <v>5701840</v>
      </c>
      <c r="B992" s="73"/>
      <c r="C992" s="73">
        <f>340780+340780+340780+341490+341040+341040+327204+317400+317090+347470+352030</f>
        <v>3707104</v>
      </c>
      <c r="D992" s="70" t="s">
        <v>107</v>
      </c>
      <c r="F992" s="70"/>
      <c r="G992" s="70"/>
      <c r="H992" s="74">
        <v>522000</v>
      </c>
      <c r="I992" s="75">
        <v>352030</v>
      </c>
    </row>
    <row r="993" spans="1:9" ht="23.25" customHeight="1">
      <c r="A993" s="73">
        <v>162420</v>
      </c>
      <c r="B993" s="73"/>
      <c r="C993" s="73">
        <f>13310+13310+13310+13310+13310+13310+13760+13760+13760+13760+13760</f>
        <v>148660</v>
      </c>
      <c r="D993" s="70" t="s">
        <v>93</v>
      </c>
      <c r="F993" s="70"/>
      <c r="G993" s="70"/>
      <c r="H993" s="74">
        <v>522000</v>
      </c>
      <c r="I993" s="75">
        <v>13760</v>
      </c>
    </row>
    <row r="994" spans="1:9" ht="23.25" customHeight="1">
      <c r="A994" s="73">
        <v>1938624</v>
      </c>
      <c r="B994" s="73"/>
      <c r="C994" s="73">
        <f>147075+137075+148475+148475+148475+148475+148475+159875+159875+159875+159875</f>
        <v>1666025</v>
      </c>
      <c r="D994" s="70" t="s">
        <v>33</v>
      </c>
      <c r="F994" s="70"/>
      <c r="G994" s="70"/>
      <c r="H994" s="74">
        <v>522000</v>
      </c>
      <c r="I994" s="75">
        <v>159875</v>
      </c>
    </row>
    <row r="995" spans="1:9" ht="23.25" customHeight="1">
      <c r="A995" s="73">
        <v>895670</v>
      </c>
      <c r="B995" s="73"/>
      <c r="C995" s="73">
        <f>7400+15115+20000+9930+13000+20600+3200+18300+10843.5+10892+15200</f>
        <v>144480.5</v>
      </c>
      <c r="D995" s="70" t="s">
        <v>80</v>
      </c>
      <c r="F995" s="70"/>
      <c r="G995" s="70"/>
      <c r="H995" s="74">
        <v>531000</v>
      </c>
      <c r="I995" s="75">
        <v>15200</v>
      </c>
    </row>
    <row r="996" spans="1:9" ht="23.25" customHeight="1">
      <c r="A996" s="73">
        <v>4175470</v>
      </c>
      <c r="B996" s="73"/>
      <c r="C996" s="73">
        <f>112050+193659.29-0.9+428958.85+220010+228739.5+532105+322037.36+194944.17+339560+333010+193319</f>
        <v>3098392.27</v>
      </c>
      <c r="D996" s="70" t="s">
        <v>81</v>
      </c>
      <c r="F996" s="70"/>
      <c r="G996" s="70"/>
      <c r="H996" s="76">
        <v>532000</v>
      </c>
      <c r="I996" s="75">
        <v>193319</v>
      </c>
    </row>
    <row r="997" spans="1:9" ht="23.25" customHeight="1">
      <c r="A997" s="77">
        <v>1880550</v>
      </c>
      <c r="B997" s="77"/>
      <c r="C997" s="73">
        <f>90550+156574+221628.39+31381+149257+236143.88+51371+70740+13970+165269.5</f>
        <v>1186884.77</v>
      </c>
      <c r="D997" s="70" t="s">
        <v>83</v>
      </c>
      <c r="F997" s="70"/>
      <c r="G997" s="70"/>
      <c r="H997" s="76">
        <v>533000</v>
      </c>
      <c r="I997" s="75">
        <v>165269.5</v>
      </c>
    </row>
    <row r="998" spans="1:9" ht="23.25" customHeight="1">
      <c r="A998" s="77">
        <v>216000</v>
      </c>
      <c r="B998" s="77"/>
      <c r="C998" s="73">
        <f>3992.17+10529.38+15448.29+22732.73+7784.88+23091.81+244+19380.88+27919.25+18383.78+5844.13</f>
        <v>155351.30000000002</v>
      </c>
      <c r="D998" s="70" t="s">
        <v>34</v>
      </c>
      <c r="F998" s="70"/>
      <c r="G998" s="70"/>
      <c r="H998" s="76">
        <v>534000</v>
      </c>
      <c r="I998" s="75">
        <v>5844.13</v>
      </c>
    </row>
    <row r="999" spans="1:9" ht="23.25" customHeight="1">
      <c r="A999" s="77">
        <v>301900</v>
      </c>
      <c r="B999" s="77"/>
      <c r="C999" s="73">
        <f>72600+27000+14000+51500+46850</f>
        <v>211950</v>
      </c>
      <c r="D999" s="70" t="s">
        <v>36</v>
      </c>
      <c r="F999" s="70"/>
      <c r="G999" s="70"/>
      <c r="H999" s="76">
        <v>541000</v>
      </c>
      <c r="I999" s="75">
        <v>46850</v>
      </c>
    </row>
    <row r="1000" spans="1:9" ht="23.25" customHeight="1">
      <c r="A1000" s="77">
        <v>2041000</v>
      </c>
      <c r="B1000" s="77"/>
      <c r="C1000" s="73">
        <f>201000+193500+444500</f>
        <v>839000</v>
      </c>
      <c r="D1000" s="70" t="s">
        <v>37</v>
      </c>
      <c r="F1000" s="70"/>
      <c r="G1000" s="70"/>
      <c r="H1000" s="76">
        <v>542000</v>
      </c>
      <c r="I1000" s="75">
        <v>444500</v>
      </c>
    </row>
    <row r="1001" spans="1:9" ht="23.25" customHeight="1">
      <c r="A1001" s="77">
        <v>1090000</v>
      </c>
      <c r="B1001" s="77"/>
      <c r="C1001" s="73">
        <f>253000+20000+330522.47+28000+299049.26+232000+30000</f>
        <v>1192571.73</v>
      </c>
      <c r="D1001" s="70" t="s">
        <v>35</v>
      </c>
      <c r="F1001" s="70"/>
      <c r="G1001" s="70"/>
      <c r="H1001" s="76">
        <v>560000</v>
      </c>
      <c r="I1001" s="73">
        <v>30000</v>
      </c>
    </row>
    <row r="1002" spans="1:9" ht="23.25" customHeight="1">
      <c r="A1002" s="77"/>
      <c r="B1002" s="77"/>
      <c r="C1002" s="73">
        <f>I1002</f>
        <v>0</v>
      </c>
      <c r="D1002" s="70" t="s">
        <v>122</v>
      </c>
      <c r="F1002" s="70"/>
      <c r="G1002" s="70"/>
      <c r="H1002" s="76">
        <v>550000</v>
      </c>
      <c r="I1002" s="73">
        <v>0</v>
      </c>
    </row>
    <row r="1003" spans="1:9" ht="23.25" customHeight="1" thickBot="1">
      <c r="A1003" s="78">
        <f>SUM(A989:A1002)</f>
        <v>27650000</v>
      </c>
      <c r="B1003" s="78"/>
      <c r="C1003" s="90">
        <f>SUM(C990:C1002)</f>
        <v>20361587.57</v>
      </c>
      <c r="D1003" s="70"/>
      <c r="E1003" s="70"/>
      <c r="F1003" s="70"/>
      <c r="G1003" s="70"/>
      <c r="H1003" s="76"/>
      <c r="I1003" s="90">
        <f>SUM(I989:I1002)</f>
        <v>2073360.63</v>
      </c>
    </row>
    <row r="1004" spans="1:9" ht="23.25" customHeight="1" thickTop="1">
      <c r="A1004" s="80"/>
      <c r="B1004" s="80"/>
      <c r="C1004" s="73">
        <v>2566</v>
      </c>
      <c r="D1004" s="70" t="s">
        <v>201</v>
      </c>
      <c r="E1004" s="70"/>
      <c r="F1004" s="70"/>
      <c r="G1004" s="70"/>
      <c r="H1004" s="76"/>
      <c r="I1004" s="73"/>
    </row>
    <row r="1005" spans="1:9" ht="23.25" customHeight="1">
      <c r="A1005" s="80"/>
      <c r="B1005" s="80"/>
      <c r="C1005" s="73">
        <f>440600+564400+422000+429300+666000+422400+420300+418600+419200+416400</f>
        <v>4619200</v>
      </c>
      <c r="D1005" s="70" t="s">
        <v>352</v>
      </c>
      <c r="E1005" s="70"/>
      <c r="F1005" s="70"/>
      <c r="G1005" s="70"/>
      <c r="H1005" s="76"/>
      <c r="I1005" s="73">
        <v>416400</v>
      </c>
    </row>
    <row r="1006" spans="1:9" ht="23.25" customHeight="1">
      <c r="A1006" s="83"/>
      <c r="B1006" s="83"/>
      <c r="C1006" s="73">
        <f>475000+253800+392500+17238.5+382500</f>
        <v>1521038.5</v>
      </c>
      <c r="D1006" s="82" t="s">
        <v>18</v>
      </c>
      <c r="E1006" s="34"/>
      <c r="F1006" s="70"/>
      <c r="G1006" s="70"/>
      <c r="H1006" s="74"/>
      <c r="I1006" s="73"/>
    </row>
    <row r="1007" spans="1:9" ht="23.25" customHeight="1">
      <c r="A1007" s="83"/>
      <c r="B1007" s="83"/>
      <c r="C1007" s="73">
        <f>166200+263450</f>
        <v>429650</v>
      </c>
      <c r="D1007" s="82" t="s">
        <v>389</v>
      </c>
      <c r="E1007" s="34"/>
      <c r="F1007" s="70"/>
      <c r="G1007" s="70"/>
      <c r="H1007" s="74"/>
      <c r="I1007" s="73"/>
    </row>
    <row r="1008" spans="1:9" ht="23.25" customHeight="1">
      <c r="A1008" s="81"/>
      <c r="B1008" s="81"/>
      <c r="C1008" s="73">
        <f>6988.19+5599.5+4923.02+13007.36+2976.64+3515.79+8965.37+4612.69+3671.78+2471.69+4919.6</f>
        <v>61651.630000000005</v>
      </c>
      <c r="D1008" s="82" t="s">
        <v>232</v>
      </c>
      <c r="E1008" s="34"/>
      <c r="F1008" s="70"/>
      <c r="G1008" s="70"/>
      <c r="H1008" s="74"/>
      <c r="I1008" s="73">
        <v>4919.6</v>
      </c>
    </row>
    <row r="1009" spans="1:9" ht="23.25" customHeight="1">
      <c r="A1009" s="81"/>
      <c r="B1009" s="81"/>
      <c r="C1009" s="73">
        <v>2842.38</v>
      </c>
      <c r="D1009" s="82" t="s">
        <v>407</v>
      </c>
      <c r="E1009" s="34"/>
      <c r="F1009" s="70"/>
      <c r="G1009" s="70"/>
      <c r="H1009" s="74"/>
      <c r="I1009" s="73"/>
    </row>
    <row r="1010" spans="1:9" ht="23.25" customHeight="1">
      <c r="A1010" s="81"/>
      <c r="B1010" s="81"/>
      <c r="C1010" s="73">
        <v>5647.41</v>
      </c>
      <c r="D1010" s="82" t="s">
        <v>594</v>
      </c>
      <c r="E1010" s="34"/>
      <c r="F1010" s="70"/>
      <c r="G1010" s="70"/>
      <c r="H1010" s="74"/>
      <c r="I1010" s="73">
        <v>5647.41</v>
      </c>
    </row>
    <row r="1011" spans="1:9" ht="23.25" customHeight="1">
      <c r="A1011" s="81"/>
      <c r="B1011" s="81"/>
      <c r="C1011" s="73">
        <f>16050+9450+72845+21250+4950</f>
        <v>124545</v>
      </c>
      <c r="D1011" s="34" t="s">
        <v>237</v>
      </c>
      <c r="F1011" s="70"/>
      <c r="G1011" s="70"/>
      <c r="H1011" s="76">
        <v>300000</v>
      </c>
      <c r="I1011" s="73">
        <v>0</v>
      </c>
    </row>
    <row r="1012" spans="1:9" ht="23.25" customHeight="1">
      <c r="A1012" s="81"/>
      <c r="B1012" s="81"/>
      <c r="C1012" s="73">
        <f>13926+7283+7283+7283+7283+7283+7853+7853+7853+7853</f>
        <v>81753</v>
      </c>
      <c r="D1012" s="82" t="s">
        <v>238</v>
      </c>
      <c r="E1012" s="45"/>
      <c r="F1012" s="70"/>
      <c r="G1012" s="70"/>
      <c r="H1012" s="74">
        <v>230000</v>
      </c>
      <c r="I1012" s="73">
        <v>7853</v>
      </c>
    </row>
    <row r="1013" spans="1:9" ht="23.25" customHeight="1">
      <c r="A1013" s="81"/>
      <c r="B1013" s="81"/>
      <c r="C1013" s="73">
        <f>1180000+100000+200000</f>
        <v>1480000</v>
      </c>
      <c r="D1013" s="82" t="s">
        <v>351</v>
      </c>
      <c r="E1013" s="45"/>
      <c r="F1013" s="70"/>
      <c r="G1013" s="70"/>
      <c r="H1013" s="74"/>
      <c r="I1013" s="73">
        <v>200000</v>
      </c>
    </row>
    <row r="1014" spans="1:9" ht="23.25" customHeight="1">
      <c r="A1014" s="81"/>
      <c r="B1014" s="81"/>
      <c r="C1014" s="73">
        <v>50000</v>
      </c>
      <c r="D1014" s="155" t="s">
        <v>428</v>
      </c>
      <c r="E1014" s="45"/>
      <c r="F1014" s="70"/>
      <c r="G1014" s="70"/>
      <c r="H1014" s="74"/>
      <c r="I1014" s="73">
        <v>0</v>
      </c>
    </row>
    <row r="1015" spans="1:9" ht="23.25" customHeight="1">
      <c r="A1015" s="81"/>
      <c r="B1015" s="81"/>
      <c r="C1015" s="73">
        <v>100000</v>
      </c>
      <c r="D1015" s="82" t="s">
        <v>77</v>
      </c>
      <c r="E1015" s="45"/>
      <c r="F1015" s="70"/>
      <c r="G1015" s="70"/>
      <c r="H1015" s="74">
        <v>110605</v>
      </c>
      <c r="I1015" s="73">
        <v>0</v>
      </c>
    </row>
    <row r="1016" spans="1:9" ht="23.25" customHeight="1">
      <c r="A1016" s="81"/>
      <c r="B1016" s="81"/>
      <c r="C1016" s="77">
        <f>29388+51250+29187+29374+36674+35572+31572+31800+30900+43995+54980</f>
        <v>404692</v>
      </c>
      <c r="D1016" s="213" t="s">
        <v>239</v>
      </c>
      <c r="E1016" s="45"/>
      <c r="F1016" s="34"/>
      <c r="G1016" s="34"/>
      <c r="H1016" s="214"/>
      <c r="I1016" s="47">
        <v>54980</v>
      </c>
    </row>
    <row r="1017" spans="1:9" ht="23.25" customHeight="1">
      <c r="A1017" s="81"/>
      <c r="B1017" s="81"/>
      <c r="C1017" s="77">
        <f>63100+63100+63100+57400+46000+43000+31700+31700+36700+36700+36700</f>
        <v>509200</v>
      </c>
      <c r="D1017" s="213" t="s">
        <v>240</v>
      </c>
      <c r="E1017" s="45"/>
      <c r="F1017" s="34"/>
      <c r="G1017" s="34"/>
      <c r="H1017" s="214"/>
      <c r="I1017" s="47">
        <v>36700</v>
      </c>
    </row>
    <row r="1018" spans="1:9" ht="23.25" customHeight="1">
      <c r="A1018" s="81"/>
      <c r="B1018" s="81"/>
      <c r="C1018" s="77">
        <f>81086+54466+78186+74435+74435+67877+64788+38168+64788+64764+34877</f>
        <v>697870</v>
      </c>
      <c r="D1018" s="213" t="s">
        <v>241</v>
      </c>
      <c r="E1018" s="45"/>
      <c r="F1018" s="34"/>
      <c r="G1018" s="34"/>
      <c r="H1018" s="214"/>
      <c r="I1018" s="47">
        <v>34877</v>
      </c>
    </row>
    <row r="1019" spans="1:9" ht="23.25" customHeight="1">
      <c r="A1019" s="81"/>
      <c r="B1019" s="81"/>
      <c r="C1019" s="77">
        <f>22027+22027+27315+27212+27351+25651+29045+29104+28521+28857+30069</f>
        <v>297179</v>
      </c>
      <c r="D1019" s="213" t="s">
        <v>242</v>
      </c>
      <c r="E1019" s="45"/>
      <c r="F1019" s="34"/>
      <c r="G1019" s="34"/>
      <c r="H1019" s="214"/>
      <c r="I1019" s="47">
        <v>30069</v>
      </c>
    </row>
    <row r="1020" spans="1:9" ht="23.25" customHeight="1">
      <c r="A1020" s="81"/>
      <c r="B1020" s="81"/>
      <c r="C1020" s="77">
        <v>114.76</v>
      </c>
      <c r="D1020" s="213" t="s">
        <v>258</v>
      </c>
      <c r="E1020" s="45"/>
      <c r="F1020" s="34"/>
      <c r="G1020" s="34"/>
      <c r="H1020" s="76"/>
      <c r="I1020" s="320">
        <v>114.76</v>
      </c>
    </row>
    <row r="1021" spans="1:9" ht="23.25" customHeight="1">
      <c r="A1021" s="81"/>
      <c r="B1021" s="81"/>
      <c r="C1021" s="73">
        <v>743.25</v>
      </c>
      <c r="D1021" s="82" t="s">
        <v>254</v>
      </c>
      <c r="E1021" s="45"/>
      <c r="F1021" s="70"/>
      <c r="G1021" s="70"/>
      <c r="H1021" s="74"/>
      <c r="I1021" s="73">
        <v>743.25</v>
      </c>
    </row>
    <row r="1022" spans="1:9" ht="23.25" customHeight="1">
      <c r="A1022" s="85"/>
      <c r="B1022" s="85"/>
      <c r="C1022" s="86">
        <f>SUM(C1004:C1021)</f>
        <v>10388692.93</v>
      </c>
      <c r="D1022" s="82"/>
      <c r="E1022" s="45"/>
      <c r="F1022" s="70"/>
      <c r="G1022" s="70"/>
      <c r="H1022" s="87"/>
      <c r="I1022" s="88">
        <f>SUM(I1004:I1021)</f>
        <v>792304.02</v>
      </c>
    </row>
    <row r="1023" spans="1:9" ht="23.25" customHeight="1" thickBot="1">
      <c r="A1023" s="89">
        <f>SUM(A1003)</f>
        <v>27650000</v>
      </c>
      <c r="B1023" s="89"/>
      <c r="C1023" s="90">
        <f>SUM(C1003+C1022)</f>
        <v>30750280.5</v>
      </c>
      <c r="D1023" s="333" t="s">
        <v>94</v>
      </c>
      <c r="E1023" s="333"/>
      <c r="F1023" s="333"/>
      <c r="G1023" s="333"/>
      <c r="H1023" s="34"/>
      <c r="I1023" s="90">
        <f>SUM(I1003+I1022)</f>
        <v>2865664.65</v>
      </c>
    </row>
    <row r="1024" spans="1:9" ht="21" customHeight="1" thickTop="1">
      <c r="A1024" s="70"/>
      <c r="B1024" s="70"/>
      <c r="C1024" s="68"/>
      <c r="D1024" s="333" t="s">
        <v>95</v>
      </c>
      <c r="E1024" s="333"/>
      <c r="F1024" s="333"/>
      <c r="G1024" s="333"/>
      <c r="H1024" s="70"/>
      <c r="I1024" s="91"/>
    </row>
    <row r="1025" spans="1:9" ht="21" customHeight="1">
      <c r="A1025" s="70"/>
      <c r="B1025" s="70"/>
      <c r="C1025" s="68"/>
      <c r="D1025" s="333" t="s">
        <v>96</v>
      </c>
      <c r="E1025" s="333"/>
      <c r="F1025" s="333"/>
      <c r="G1025" s="333"/>
      <c r="H1025" s="70"/>
      <c r="I1025" s="91"/>
    </row>
    <row r="1026" spans="1:9" ht="21" customHeight="1">
      <c r="A1026" s="69"/>
      <c r="B1026" s="69"/>
      <c r="C1026" s="92">
        <f>C972-C1023</f>
        <v>349061.41000000015</v>
      </c>
      <c r="D1026" s="348" t="s">
        <v>98</v>
      </c>
      <c r="E1026" s="348"/>
      <c r="F1026" s="348"/>
      <c r="G1026" s="348"/>
      <c r="H1026" s="69"/>
      <c r="I1026" s="92">
        <f>I972-I1023</f>
        <v>-749153.19</v>
      </c>
    </row>
    <row r="1027" spans="1:9" ht="23.25" customHeight="1">
      <c r="A1027" s="69"/>
      <c r="B1027" s="69"/>
      <c r="C1027" s="95">
        <f>SUM(C944+C972-C1023)</f>
        <v>11640987.899999999</v>
      </c>
      <c r="D1027" s="348" t="s">
        <v>97</v>
      </c>
      <c r="E1027" s="348"/>
      <c r="F1027" s="348"/>
      <c r="G1027" s="348"/>
      <c r="H1027" s="69"/>
      <c r="I1027" s="95">
        <f>SUM(I944+I972-I1023)</f>
        <v>11640987.9</v>
      </c>
    </row>
    <row r="1028" spans="1:9" ht="18" customHeight="1">
      <c r="A1028" s="69"/>
      <c r="B1028" s="69"/>
      <c r="C1028" s="217"/>
      <c r="D1028" s="206"/>
      <c r="E1028" s="206"/>
      <c r="F1028" s="206"/>
      <c r="G1028" s="206"/>
      <c r="H1028" s="69"/>
      <c r="I1028" s="217"/>
    </row>
    <row r="1029" spans="1:9" ht="23.25" customHeight="1">
      <c r="A1029" s="349" t="s">
        <v>262</v>
      </c>
      <c r="B1029" s="349"/>
      <c r="C1029" s="349"/>
      <c r="D1029" s="349" t="s">
        <v>263</v>
      </c>
      <c r="E1029" s="349"/>
      <c r="F1029" s="349"/>
      <c r="G1029" s="349" t="s">
        <v>5</v>
      </c>
      <c r="H1029" s="349"/>
      <c r="I1029" s="349"/>
    </row>
    <row r="1030" spans="1:9" ht="23.25" customHeight="1">
      <c r="A1030" s="349" t="s">
        <v>430</v>
      </c>
      <c r="B1030" s="349"/>
      <c r="C1030" s="349"/>
      <c r="D1030" s="333" t="s">
        <v>126</v>
      </c>
      <c r="E1030" s="333"/>
      <c r="F1030" s="333"/>
      <c r="G1030" s="333" t="s">
        <v>264</v>
      </c>
      <c r="H1030" s="333"/>
      <c r="I1030" s="333"/>
    </row>
    <row r="1031" spans="1:9" ht="23.25" customHeight="1">
      <c r="A1031" s="346" t="s">
        <v>431</v>
      </c>
      <c r="B1031" s="346"/>
      <c r="C1031" s="346"/>
      <c r="D1031" s="347" t="s">
        <v>127</v>
      </c>
      <c r="E1031" s="347"/>
      <c r="F1031" s="347"/>
      <c r="G1031" s="347" t="s">
        <v>265</v>
      </c>
      <c r="H1031" s="347"/>
      <c r="I1031" s="347"/>
    </row>
    <row r="1032" spans="1:6" ht="23.25" customHeight="1">
      <c r="A1032" s="346" t="s">
        <v>261</v>
      </c>
      <c r="B1032" s="346"/>
      <c r="C1032" s="346"/>
      <c r="D1032" s="97"/>
      <c r="E1032" s="97"/>
      <c r="F1032" s="97"/>
    </row>
  </sheetData>
  <sheetProtection/>
  <mergeCells count="254">
    <mergeCell ref="B752:H752"/>
    <mergeCell ref="A751:I751"/>
    <mergeCell ref="A750:I750"/>
    <mergeCell ref="D834:G834"/>
    <mergeCell ref="D833:G833"/>
    <mergeCell ref="D800:G800"/>
    <mergeCell ref="A799:C799"/>
    <mergeCell ref="A798:I798"/>
    <mergeCell ref="D753:G755"/>
    <mergeCell ref="A753:C753"/>
    <mergeCell ref="G840:I840"/>
    <mergeCell ref="D840:F840"/>
    <mergeCell ref="A840:C840"/>
    <mergeCell ref="D837:G837"/>
    <mergeCell ref="D836:G836"/>
    <mergeCell ref="D835:G835"/>
    <mergeCell ref="A843:C843"/>
    <mergeCell ref="G842:I842"/>
    <mergeCell ref="D842:F842"/>
    <mergeCell ref="A842:C842"/>
    <mergeCell ref="G841:I841"/>
    <mergeCell ref="D841:F841"/>
    <mergeCell ref="A841:C841"/>
    <mergeCell ref="D644:G644"/>
    <mergeCell ref="D645:G645"/>
    <mergeCell ref="D646:G646"/>
    <mergeCell ref="D647:G647"/>
    <mergeCell ref="A653:C653"/>
    <mergeCell ref="A650:C650"/>
    <mergeCell ref="D650:F650"/>
    <mergeCell ref="G650:I650"/>
    <mergeCell ref="A652:C652"/>
    <mergeCell ref="D652:F652"/>
    <mergeCell ref="G652:I652"/>
    <mergeCell ref="A651:C651"/>
    <mergeCell ref="D651:F651"/>
    <mergeCell ref="G651:I651"/>
    <mergeCell ref="A562:I562"/>
    <mergeCell ref="A563:I563"/>
    <mergeCell ref="B564:H564"/>
    <mergeCell ref="A565:C565"/>
    <mergeCell ref="D565:G567"/>
    <mergeCell ref="A609:I609"/>
    <mergeCell ref="A610:C610"/>
    <mergeCell ref="D611:G611"/>
    <mergeCell ref="D643:G643"/>
    <mergeCell ref="A517:C517"/>
    <mergeCell ref="A560:C560"/>
    <mergeCell ref="D518:G518"/>
    <mergeCell ref="D554:G554"/>
    <mergeCell ref="D558:F558"/>
    <mergeCell ref="G558:I558"/>
    <mergeCell ref="A559:C559"/>
    <mergeCell ref="D559:F559"/>
    <mergeCell ref="G559:I559"/>
    <mergeCell ref="A558:C558"/>
    <mergeCell ref="A465:C465"/>
    <mergeCell ref="D465:F465"/>
    <mergeCell ref="G465:I465"/>
    <mergeCell ref="A466:C466"/>
    <mergeCell ref="D552:G552"/>
    <mergeCell ref="A470:I470"/>
    <mergeCell ref="B471:H471"/>
    <mergeCell ref="A472:C472"/>
    <mergeCell ref="D472:G474"/>
    <mergeCell ref="A516:I516"/>
    <mergeCell ref="A463:C463"/>
    <mergeCell ref="D463:F463"/>
    <mergeCell ref="G463:I463"/>
    <mergeCell ref="A464:C464"/>
    <mergeCell ref="D464:F464"/>
    <mergeCell ref="G464:I464"/>
    <mergeCell ref="A422:I422"/>
    <mergeCell ref="A423:C423"/>
    <mergeCell ref="D424:G424"/>
    <mergeCell ref="D456:G456"/>
    <mergeCell ref="D457:G457"/>
    <mergeCell ref="D458:G458"/>
    <mergeCell ref="A371:C371"/>
    <mergeCell ref="D371:F371"/>
    <mergeCell ref="G371:I371"/>
    <mergeCell ref="A372:C372"/>
    <mergeCell ref="D459:G459"/>
    <mergeCell ref="D460:G460"/>
    <mergeCell ref="A375:I375"/>
    <mergeCell ref="A376:I376"/>
    <mergeCell ref="B377:H377"/>
    <mergeCell ref="D378:G380"/>
    <mergeCell ref="A369:C369"/>
    <mergeCell ref="D369:F369"/>
    <mergeCell ref="G369:I369"/>
    <mergeCell ref="D363:G363"/>
    <mergeCell ref="A370:C370"/>
    <mergeCell ref="D370:F370"/>
    <mergeCell ref="G370:I370"/>
    <mergeCell ref="D365:G365"/>
    <mergeCell ref="A282:I282"/>
    <mergeCell ref="A284:C284"/>
    <mergeCell ref="D330:G330"/>
    <mergeCell ref="D362:G362"/>
    <mergeCell ref="D366:G366"/>
    <mergeCell ref="D364:G364"/>
    <mergeCell ref="D274:F274"/>
    <mergeCell ref="D275:F275"/>
    <mergeCell ref="G275:I275"/>
    <mergeCell ref="A281:I281"/>
    <mergeCell ref="D269:G269"/>
    <mergeCell ref="D270:G270"/>
    <mergeCell ref="A273:C273"/>
    <mergeCell ref="D273:F273"/>
    <mergeCell ref="G273:I273"/>
    <mergeCell ref="G274:I274"/>
    <mergeCell ref="A275:C275"/>
    <mergeCell ref="D553:G553"/>
    <mergeCell ref="D550:G550"/>
    <mergeCell ref="D551:G551"/>
    <mergeCell ref="A378:C378"/>
    <mergeCell ref="B283:H283"/>
    <mergeCell ref="D284:G286"/>
    <mergeCell ref="A276:C276"/>
    <mergeCell ref="A328:I328"/>
    <mergeCell ref="A329:C329"/>
    <mergeCell ref="A274:C274"/>
    <mergeCell ref="A557:C557"/>
    <mergeCell ref="D557:F557"/>
    <mergeCell ref="G557:I557"/>
    <mergeCell ref="A469:I469"/>
    <mergeCell ref="G180:I180"/>
    <mergeCell ref="B189:H189"/>
    <mergeCell ref="A190:C190"/>
    <mergeCell ref="D190:G192"/>
    <mergeCell ref="A188:I188"/>
    <mergeCell ref="A86:C86"/>
    <mergeCell ref="D85:F85"/>
    <mergeCell ref="D173:G173"/>
    <mergeCell ref="D86:F86"/>
    <mergeCell ref="A87:C87"/>
    <mergeCell ref="A96:I96"/>
    <mergeCell ref="D142:G142"/>
    <mergeCell ref="A1:I1"/>
    <mergeCell ref="A2:I2"/>
    <mergeCell ref="G85:I85"/>
    <mergeCell ref="D82:G82"/>
    <mergeCell ref="A50:C50"/>
    <mergeCell ref="D51:G51"/>
    <mergeCell ref="A4:I4"/>
    <mergeCell ref="D79:G79"/>
    <mergeCell ref="D6:G8"/>
    <mergeCell ref="A84:C84"/>
    <mergeCell ref="A6:C6"/>
    <mergeCell ref="D81:G81"/>
    <mergeCell ref="H3:I3"/>
    <mergeCell ref="A49:I49"/>
    <mergeCell ref="G86:I86"/>
    <mergeCell ref="D78:G78"/>
    <mergeCell ref="D80:G80"/>
    <mergeCell ref="D84:F84"/>
    <mergeCell ref="G84:I84"/>
    <mergeCell ref="A85:C85"/>
    <mergeCell ref="G179:I179"/>
    <mergeCell ref="A141:C141"/>
    <mergeCell ref="D268:G268"/>
    <mergeCell ref="D172:G172"/>
    <mergeCell ref="A187:I187"/>
    <mergeCell ref="A180:C180"/>
    <mergeCell ref="D180:F180"/>
    <mergeCell ref="A234:C234"/>
    <mergeCell ref="D235:G235"/>
    <mergeCell ref="D267:G267"/>
    <mergeCell ref="A182:C182"/>
    <mergeCell ref="G181:I181"/>
    <mergeCell ref="D181:F181"/>
    <mergeCell ref="A233:I233"/>
    <mergeCell ref="A181:C181"/>
    <mergeCell ref="D266:G266"/>
    <mergeCell ref="D176:G176"/>
    <mergeCell ref="A179:C179"/>
    <mergeCell ref="D179:F179"/>
    <mergeCell ref="A140:I140"/>
    <mergeCell ref="A97:I97"/>
    <mergeCell ref="D99:G101"/>
    <mergeCell ref="A99:C99"/>
    <mergeCell ref="B98:H98"/>
    <mergeCell ref="D175:G175"/>
    <mergeCell ref="D174:G174"/>
    <mergeCell ref="A656:I656"/>
    <mergeCell ref="A657:I657"/>
    <mergeCell ref="B658:H658"/>
    <mergeCell ref="A659:C659"/>
    <mergeCell ref="D659:G661"/>
    <mergeCell ref="A703:I703"/>
    <mergeCell ref="G745:I745"/>
    <mergeCell ref="A704:C704"/>
    <mergeCell ref="D705:G705"/>
    <mergeCell ref="D737:G737"/>
    <mergeCell ref="D738:G738"/>
    <mergeCell ref="D739:G739"/>
    <mergeCell ref="D740:G740"/>
    <mergeCell ref="A746:C746"/>
    <mergeCell ref="D746:F746"/>
    <mergeCell ref="G746:I746"/>
    <mergeCell ref="A747:C747"/>
    <mergeCell ref="D741:G741"/>
    <mergeCell ref="A744:C744"/>
    <mergeCell ref="D744:F744"/>
    <mergeCell ref="G744:I744"/>
    <mergeCell ref="A745:C745"/>
    <mergeCell ref="D745:F745"/>
    <mergeCell ref="A844:I844"/>
    <mergeCell ref="A845:I845"/>
    <mergeCell ref="B846:H846"/>
    <mergeCell ref="A847:C847"/>
    <mergeCell ref="D847:G849"/>
    <mergeCell ref="A892:I892"/>
    <mergeCell ref="G935:I935"/>
    <mergeCell ref="A893:C893"/>
    <mergeCell ref="D894:G894"/>
    <mergeCell ref="D928:G928"/>
    <mergeCell ref="D929:G929"/>
    <mergeCell ref="D930:G930"/>
    <mergeCell ref="D931:G931"/>
    <mergeCell ref="A936:C936"/>
    <mergeCell ref="D936:F936"/>
    <mergeCell ref="G936:I936"/>
    <mergeCell ref="A937:C937"/>
    <mergeCell ref="D932:G932"/>
    <mergeCell ref="A934:C934"/>
    <mergeCell ref="D934:F934"/>
    <mergeCell ref="G934:I934"/>
    <mergeCell ref="A935:C935"/>
    <mergeCell ref="D935:F935"/>
    <mergeCell ref="A938:I938"/>
    <mergeCell ref="A939:I939"/>
    <mergeCell ref="B940:H940"/>
    <mergeCell ref="A941:C941"/>
    <mergeCell ref="D941:G943"/>
    <mergeCell ref="A985:I985"/>
    <mergeCell ref="G1030:I1030"/>
    <mergeCell ref="A986:C986"/>
    <mergeCell ref="D987:G987"/>
    <mergeCell ref="D1023:G1023"/>
    <mergeCell ref="D1024:G1024"/>
    <mergeCell ref="D1025:G1025"/>
    <mergeCell ref="D1026:G1026"/>
    <mergeCell ref="A1031:C1031"/>
    <mergeCell ref="D1031:F1031"/>
    <mergeCell ref="G1031:I1031"/>
    <mergeCell ref="A1032:C1032"/>
    <mergeCell ref="D1027:G1027"/>
    <mergeCell ref="A1029:C1029"/>
    <mergeCell ref="D1029:F1029"/>
    <mergeCell ref="G1029:I1029"/>
    <mergeCell ref="A1030:C1030"/>
    <mergeCell ref="D1030:F1030"/>
  </mergeCells>
  <printOptions/>
  <pageMargins left="0.75" right="0.2362204724409449" top="0.5511811023622047" bottom="0.35433070866141736" header="0.31496062992125984" footer="0.11811023622047245"/>
  <pageSetup horizontalDpi="180" verticalDpi="18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4"/>
  <sheetViews>
    <sheetView view="pageBreakPreview" zoomScale="95" zoomScaleNormal="110" zoomScaleSheetLayoutView="95" zoomScalePageLayoutView="0" workbookViewId="0" topLeftCell="A666">
      <selection activeCell="A692" sqref="A692:D694"/>
    </sheetView>
  </sheetViews>
  <sheetFormatPr defaultColWidth="9.140625" defaultRowHeight="21.75"/>
  <cols>
    <col min="1" max="1" width="51.421875" style="7" customWidth="1"/>
    <col min="2" max="2" width="14.00390625" style="7" customWidth="1"/>
    <col min="3" max="3" width="19.00390625" style="7" customWidth="1"/>
    <col min="4" max="4" width="18.57421875" style="7" customWidth="1"/>
    <col min="5" max="7" width="9.140625" style="7" customWidth="1"/>
    <col min="8" max="8" width="16.140625" style="7" customWidth="1"/>
    <col min="9" max="16384" width="9.140625" style="7" customWidth="1"/>
  </cols>
  <sheetData>
    <row r="1" spans="1:4" ht="23.25">
      <c r="A1" s="343" t="s">
        <v>330</v>
      </c>
      <c r="B1" s="343"/>
      <c r="C1" s="343"/>
      <c r="D1" s="343"/>
    </row>
    <row r="2" spans="1:6" ht="23.25">
      <c r="A2" s="343" t="s">
        <v>268</v>
      </c>
      <c r="B2" s="343"/>
      <c r="C2" s="343"/>
      <c r="D2" s="343"/>
      <c r="E2" s="321"/>
      <c r="F2" s="321"/>
    </row>
    <row r="3" spans="1:4" ht="23.25">
      <c r="A3" s="372" t="s">
        <v>341</v>
      </c>
      <c r="B3" s="372"/>
      <c r="C3" s="372"/>
      <c r="D3" s="372"/>
    </row>
    <row r="4" spans="1:4" ht="23.25">
      <c r="A4" s="255"/>
      <c r="B4" s="255" t="s">
        <v>269</v>
      </c>
      <c r="C4" s="322" t="s">
        <v>39</v>
      </c>
      <c r="D4" s="322" t="s">
        <v>270</v>
      </c>
    </row>
    <row r="5" spans="1:4" ht="23.25">
      <c r="A5" s="229" t="s">
        <v>271</v>
      </c>
      <c r="B5" s="230">
        <v>41000000</v>
      </c>
      <c r="C5" s="231"/>
      <c r="D5" s="231"/>
    </row>
    <row r="6" spans="1:4" ht="23.25">
      <c r="A6" s="232" t="s">
        <v>272</v>
      </c>
      <c r="B6" s="233" t="s">
        <v>273</v>
      </c>
      <c r="C6" s="234"/>
      <c r="D6" s="235"/>
    </row>
    <row r="7" spans="1:4" ht="23.25">
      <c r="A7" s="253" t="s">
        <v>274</v>
      </c>
      <c r="B7" s="238" t="s">
        <v>275</v>
      </c>
      <c r="C7" s="254">
        <v>17000</v>
      </c>
      <c r="D7" s="254">
        <v>0</v>
      </c>
    </row>
    <row r="8" spans="1:4" ht="23.25">
      <c r="A8" s="253" t="s">
        <v>276</v>
      </c>
      <c r="B8" s="238" t="s">
        <v>277</v>
      </c>
      <c r="C8" s="254">
        <v>40000</v>
      </c>
      <c r="D8" s="323">
        <v>0</v>
      </c>
    </row>
    <row r="9" spans="1:4" ht="23.25">
      <c r="A9" s="253" t="s">
        <v>278</v>
      </c>
      <c r="B9" s="238" t="s">
        <v>279</v>
      </c>
      <c r="C9" s="254">
        <v>1000</v>
      </c>
      <c r="D9" s="323">
        <v>0</v>
      </c>
    </row>
    <row r="10" spans="1:4" ht="23.25">
      <c r="A10" s="237" t="s">
        <v>46</v>
      </c>
      <c r="B10" s="238"/>
      <c r="C10" s="239">
        <f>SUM(C7:C9)</f>
        <v>58000</v>
      </c>
      <c r="D10" s="239">
        <f>SUM(D7:D9)</f>
        <v>0</v>
      </c>
    </row>
    <row r="11" spans="1:4" ht="23.25">
      <c r="A11" s="232" t="s">
        <v>280</v>
      </c>
      <c r="B11" s="233" t="s">
        <v>281</v>
      </c>
      <c r="C11" s="234"/>
      <c r="D11" s="234"/>
    </row>
    <row r="12" spans="1:4" ht="23.25">
      <c r="A12" s="253" t="s">
        <v>333</v>
      </c>
      <c r="B12" s="238" t="s">
        <v>338</v>
      </c>
      <c r="C12" s="254">
        <v>3000</v>
      </c>
      <c r="D12" s="254">
        <f>1382+1975</f>
        <v>3357</v>
      </c>
    </row>
    <row r="13" spans="1:4" ht="23.25">
      <c r="A13" s="253" t="s">
        <v>334</v>
      </c>
      <c r="B13" s="238" t="s">
        <v>283</v>
      </c>
      <c r="C13" s="254">
        <v>500</v>
      </c>
      <c r="D13" s="254">
        <v>0</v>
      </c>
    </row>
    <row r="14" spans="1:4" ht="23.25">
      <c r="A14" s="253" t="s">
        <v>335</v>
      </c>
      <c r="B14" s="238" t="s">
        <v>339</v>
      </c>
      <c r="C14" s="254">
        <v>500</v>
      </c>
      <c r="D14" s="254">
        <v>0</v>
      </c>
    </row>
    <row r="15" spans="1:4" ht="23.25">
      <c r="A15" s="253" t="s">
        <v>284</v>
      </c>
      <c r="B15" s="324" t="s">
        <v>285</v>
      </c>
      <c r="C15" s="254">
        <v>1000</v>
      </c>
      <c r="D15" s="254">
        <v>1000</v>
      </c>
    </row>
    <row r="16" spans="1:4" ht="23.25">
      <c r="A16" s="253" t="s">
        <v>286</v>
      </c>
      <c r="B16" s="238" t="s">
        <v>287</v>
      </c>
      <c r="C16" s="254">
        <v>20000</v>
      </c>
      <c r="D16" s="254">
        <v>0</v>
      </c>
    </row>
    <row r="17" spans="1:4" ht="23.25">
      <c r="A17" s="253" t="s">
        <v>336</v>
      </c>
      <c r="B17" s="238" t="s">
        <v>282</v>
      </c>
      <c r="C17" s="254">
        <v>1000</v>
      </c>
      <c r="D17" s="254">
        <v>19.4</v>
      </c>
    </row>
    <row r="18" spans="1:4" ht="23.25">
      <c r="A18" s="253"/>
      <c r="B18" s="238"/>
      <c r="C18" s="254"/>
      <c r="D18" s="254"/>
    </row>
    <row r="19" spans="1:4" ht="22.5" customHeight="1">
      <c r="A19" s="237" t="s">
        <v>46</v>
      </c>
      <c r="B19" s="238"/>
      <c r="C19" s="239">
        <f>SUM(C12:C17)</f>
        <v>26000</v>
      </c>
      <c r="D19" s="239">
        <f>SUM(D12:D17)</f>
        <v>4376.4</v>
      </c>
    </row>
    <row r="20" spans="1:4" ht="22.5" customHeight="1">
      <c r="A20" s="232" t="s">
        <v>288</v>
      </c>
      <c r="B20" s="233" t="s">
        <v>289</v>
      </c>
      <c r="C20" s="234"/>
      <c r="D20" s="234"/>
    </row>
    <row r="21" spans="1:4" ht="22.5" customHeight="1">
      <c r="A21" s="253" t="s">
        <v>290</v>
      </c>
      <c r="B21" s="238" t="s">
        <v>291</v>
      </c>
      <c r="C21" s="254">
        <v>70000</v>
      </c>
      <c r="D21" s="325">
        <v>0</v>
      </c>
    </row>
    <row r="22" spans="1:4" ht="23.25">
      <c r="A22" s="237" t="s">
        <v>46</v>
      </c>
      <c r="B22" s="238"/>
      <c r="C22" s="239">
        <f>SUM(C21:C21)</f>
        <v>70000</v>
      </c>
      <c r="D22" s="239">
        <f>SUM(D21:D21)</f>
        <v>0</v>
      </c>
    </row>
    <row r="23" spans="1:4" ht="23.25">
      <c r="A23" s="232" t="s">
        <v>292</v>
      </c>
      <c r="B23" s="233" t="s">
        <v>293</v>
      </c>
      <c r="C23" s="234">
        <f>SUM(C24:C24)</f>
        <v>0</v>
      </c>
      <c r="D23" s="234">
        <f>SUM(D24:D24)</f>
        <v>0</v>
      </c>
    </row>
    <row r="24" spans="1:4" ht="23.25">
      <c r="A24" s="253"/>
      <c r="B24" s="238"/>
      <c r="C24" s="254"/>
      <c r="D24" s="254"/>
    </row>
    <row r="25" spans="1:4" ht="23.25">
      <c r="A25" s="237" t="s">
        <v>46</v>
      </c>
      <c r="B25" s="238"/>
      <c r="C25" s="239">
        <f>SUM(C24:C24)</f>
        <v>0</v>
      </c>
      <c r="D25" s="239">
        <f>SUM(D24:D24)</f>
        <v>0</v>
      </c>
    </row>
    <row r="26" spans="1:4" ht="23.25">
      <c r="A26" s="232" t="s">
        <v>294</v>
      </c>
      <c r="B26" s="233" t="s">
        <v>295</v>
      </c>
      <c r="C26" s="234"/>
      <c r="D26" s="234"/>
    </row>
    <row r="27" spans="1:4" ht="23.25">
      <c r="A27" s="253" t="s">
        <v>296</v>
      </c>
      <c r="B27" s="238" t="s">
        <v>297</v>
      </c>
      <c r="C27" s="254">
        <v>40000</v>
      </c>
      <c r="D27" s="254">
        <v>5200</v>
      </c>
    </row>
    <row r="28" spans="1:4" ht="23.25">
      <c r="A28" s="253" t="s">
        <v>298</v>
      </c>
      <c r="B28" s="238" t="s">
        <v>299</v>
      </c>
      <c r="C28" s="254">
        <v>1000</v>
      </c>
      <c r="D28" s="254">
        <v>8169.4</v>
      </c>
    </row>
    <row r="29" spans="1:4" ht="23.25">
      <c r="A29" s="240" t="s">
        <v>46</v>
      </c>
      <c r="B29" s="240"/>
      <c r="C29" s="239">
        <f>SUM(C27:C28)</f>
        <v>41000</v>
      </c>
      <c r="D29" s="239">
        <f>SUM(D27:D28)</f>
        <v>13369.4</v>
      </c>
    </row>
    <row r="30" spans="1:4" ht="23.25">
      <c r="A30" s="146"/>
      <c r="B30" s="146"/>
      <c r="C30" s="326"/>
      <c r="D30" s="326"/>
    </row>
    <row r="31" spans="1:4" ht="23.25">
      <c r="A31" s="146"/>
      <c r="B31" s="146"/>
      <c r="C31" s="326"/>
      <c r="D31" s="326"/>
    </row>
    <row r="32" spans="1:4" ht="23.25">
      <c r="A32" s="210" t="s">
        <v>340</v>
      </c>
      <c r="B32" s="145"/>
      <c r="D32" s="145"/>
    </row>
    <row r="33" spans="1:4" ht="23.25">
      <c r="A33" s="210" t="s">
        <v>372</v>
      </c>
      <c r="B33" s="145"/>
      <c r="D33" s="145"/>
    </row>
    <row r="34" spans="1:4" ht="23.25">
      <c r="A34" s="210" t="s">
        <v>337</v>
      </c>
      <c r="B34" s="145"/>
      <c r="D34" s="145"/>
    </row>
    <row r="35" spans="1:2" ht="23.25">
      <c r="A35" s="210"/>
      <c r="B35" s="145">
        <v>-2</v>
      </c>
    </row>
    <row r="36" spans="1:4" ht="23.25">
      <c r="A36" s="255"/>
      <c r="B36" s="255" t="s">
        <v>30</v>
      </c>
      <c r="C36" s="322" t="s">
        <v>39</v>
      </c>
      <c r="D36" s="322" t="s">
        <v>270</v>
      </c>
    </row>
    <row r="37" spans="1:4" ht="23.25">
      <c r="A37" s="241" t="s">
        <v>300</v>
      </c>
      <c r="B37" s="242" t="s">
        <v>301</v>
      </c>
      <c r="C37" s="142"/>
      <c r="D37" s="143"/>
    </row>
    <row r="38" spans="1:4" ht="23.25">
      <c r="A38" s="232" t="s">
        <v>302</v>
      </c>
      <c r="B38" s="233" t="s">
        <v>303</v>
      </c>
      <c r="C38" s="234"/>
      <c r="D38" s="234"/>
    </row>
    <row r="39" spans="1:4" ht="23.25">
      <c r="A39" s="253" t="s">
        <v>304</v>
      </c>
      <c r="B39" s="238" t="s">
        <v>305</v>
      </c>
      <c r="C39" s="254">
        <v>160000</v>
      </c>
      <c r="D39" s="254">
        <v>0</v>
      </c>
    </row>
    <row r="40" spans="1:4" ht="23.25">
      <c r="A40" s="253" t="s">
        <v>306</v>
      </c>
      <c r="B40" s="238" t="s">
        <v>307</v>
      </c>
      <c r="C40" s="254">
        <v>9140000</v>
      </c>
      <c r="D40" s="254">
        <v>1479825.59</v>
      </c>
    </row>
    <row r="41" spans="1:5" ht="23.25">
      <c r="A41" s="253" t="s">
        <v>308</v>
      </c>
      <c r="B41" s="238" t="s">
        <v>309</v>
      </c>
      <c r="C41" s="254">
        <v>1500000</v>
      </c>
      <c r="D41" s="254">
        <v>223111.55</v>
      </c>
      <c r="E41" s="321"/>
    </row>
    <row r="42" spans="1:4" ht="23.25">
      <c r="A42" s="253" t="s">
        <v>310</v>
      </c>
      <c r="B42" s="238" t="s">
        <v>311</v>
      </c>
      <c r="C42" s="254">
        <v>80000</v>
      </c>
      <c r="D42" s="254">
        <v>8361.66</v>
      </c>
    </row>
    <row r="43" spans="1:4" ht="23.25">
      <c r="A43" s="253" t="s">
        <v>312</v>
      </c>
      <c r="B43" s="238" t="s">
        <v>313</v>
      </c>
      <c r="C43" s="254">
        <v>700000</v>
      </c>
      <c r="D43" s="254">
        <v>104186.51</v>
      </c>
    </row>
    <row r="44" spans="1:4" ht="23.25">
      <c r="A44" s="253" t="s">
        <v>314</v>
      </c>
      <c r="B44" s="238" t="s">
        <v>315</v>
      </c>
      <c r="C44" s="254">
        <v>1200000</v>
      </c>
      <c r="D44" s="254">
        <v>275482.82</v>
      </c>
    </row>
    <row r="45" spans="1:4" ht="23.25">
      <c r="A45" s="253" t="s">
        <v>316</v>
      </c>
      <c r="B45" s="238" t="s">
        <v>317</v>
      </c>
      <c r="C45" s="254">
        <v>30000</v>
      </c>
      <c r="D45" s="325">
        <v>0</v>
      </c>
    </row>
    <row r="46" spans="1:4" ht="23.25">
      <c r="A46" s="253" t="s">
        <v>318</v>
      </c>
      <c r="B46" s="238" t="s">
        <v>319</v>
      </c>
      <c r="C46" s="254">
        <v>40000</v>
      </c>
      <c r="D46" s="254">
        <v>5473.67</v>
      </c>
    </row>
    <row r="47" spans="1:4" ht="23.25">
      <c r="A47" s="253" t="s">
        <v>320</v>
      </c>
      <c r="B47" s="238" t="s">
        <v>321</v>
      </c>
      <c r="C47" s="254">
        <v>300000</v>
      </c>
      <c r="D47" s="254">
        <v>22520</v>
      </c>
    </row>
    <row r="48" spans="1:4" ht="23.25">
      <c r="A48" s="253" t="s">
        <v>342</v>
      </c>
      <c r="B48" s="238" t="s">
        <v>343</v>
      </c>
      <c r="C48" s="254">
        <v>500</v>
      </c>
      <c r="D48" s="254"/>
    </row>
    <row r="49" spans="1:4" ht="23.25">
      <c r="A49" s="253"/>
      <c r="B49" s="238"/>
      <c r="C49" s="254"/>
      <c r="D49" s="327"/>
    </row>
    <row r="50" spans="1:4" ht="23.25">
      <c r="A50" s="237" t="s">
        <v>46</v>
      </c>
      <c r="B50" s="238"/>
      <c r="C50" s="239">
        <f>SUM(C39:C49)</f>
        <v>13150500</v>
      </c>
      <c r="D50" s="239">
        <f>SUM(D39:D49)</f>
        <v>2118961.8</v>
      </c>
    </row>
    <row r="51" spans="1:4" ht="23.25">
      <c r="A51" s="241" t="s">
        <v>322</v>
      </c>
      <c r="B51" s="242" t="s">
        <v>323</v>
      </c>
      <c r="C51" s="205"/>
      <c r="D51" s="205"/>
    </row>
    <row r="52" spans="1:4" ht="23.25">
      <c r="A52" s="243" t="s">
        <v>324</v>
      </c>
      <c r="B52" s="242" t="s">
        <v>325</v>
      </c>
      <c r="C52" s="205">
        <f>SUM(C53:C54)</f>
        <v>14304500</v>
      </c>
      <c r="D52" s="205">
        <f>SUM(D53:D54)</f>
        <v>3261953</v>
      </c>
    </row>
    <row r="53" spans="1:4" ht="23.25">
      <c r="A53" s="253" t="s">
        <v>326</v>
      </c>
      <c r="B53" s="238" t="s">
        <v>327</v>
      </c>
      <c r="C53" s="254">
        <v>14304500</v>
      </c>
      <c r="D53" s="325">
        <v>3261953</v>
      </c>
    </row>
    <row r="54" spans="1:4" ht="23.25">
      <c r="A54" s="13" t="s">
        <v>328</v>
      </c>
      <c r="B54" s="328"/>
      <c r="C54" s="142"/>
      <c r="D54" s="142"/>
    </row>
    <row r="55" spans="1:4" ht="23.25">
      <c r="A55" s="237" t="s">
        <v>46</v>
      </c>
      <c r="B55" s="238"/>
      <c r="C55" s="239">
        <f>SUM(C53:C54)</f>
        <v>14304500</v>
      </c>
      <c r="D55" s="239">
        <f>SUM(D53:D54)</f>
        <v>3261953</v>
      </c>
    </row>
    <row r="56" spans="1:4" ht="23.25">
      <c r="A56" s="373" t="s">
        <v>329</v>
      </c>
      <c r="B56" s="374"/>
      <c r="C56" s="239">
        <f>SUM(C10+C19+C22+C25+C29+C50+C55)</f>
        <v>27650000</v>
      </c>
      <c r="D56" s="239">
        <f>SUM(D10+D19+D22+D25+D29+D50+D55)</f>
        <v>5398660.6</v>
      </c>
    </row>
    <row r="57" spans="2:4" ht="23.25">
      <c r="B57" s="145"/>
      <c r="C57" s="188"/>
      <c r="D57" s="188"/>
    </row>
    <row r="58" spans="2:4" ht="23.25">
      <c r="B58" s="145"/>
      <c r="C58" s="188"/>
      <c r="D58" s="188"/>
    </row>
    <row r="59" spans="1:4" ht="23.25">
      <c r="A59" s="210" t="s">
        <v>332</v>
      </c>
      <c r="B59" s="145"/>
      <c r="D59" s="145"/>
    </row>
    <row r="60" spans="1:4" ht="23.25">
      <c r="A60" s="210" t="s">
        <v>373</v>
      </c>
      <c r="B60" s="145"/>
      <c r="D60" s="145"/>
    </row>
    <row r="61" spans="1:4" ht="23.25">
      <c r="A61" s="210" t="s">
        <v>331</v>
      </c>
      <c r="B61" s="145"/>
      <c r="D61" s="145"/>
    </row>
    <row r="62" spans="2:4" ht="23.25">
      <c r="B62" s="145"/>
      <c r="C62" s="188"/>
      <c r="D62" s="188"/>
    </row>
    <row r="66" spans="2:4" ht="23.25">
      <c r="B66" s="145"/>
      <c r="D66" s="145"/>
    </row>
    <row r="69" spans="1:4" ht="23.25">
      <c r="A69" s="343" t="s">
        <v>330</v>
      </c>
      <c r="B69" s="343"/>
      <c r="C69" s="343"/>
      <c r="D69" s="343"/>
    </row>
    <row r="70" spans="1:4" ht="23.25">
      <c r="A70" s="343" t="s">
        <v>268</v>
      </c>
      <c r="B70" s="343"/>
      <c r="C70" s="343"/>
      <c r="D70" s="343"/>
    </row>
    <row r="71" spans="1:4" ht="23.25">
      <c r="A71" s="372" t="s">
        <v>387</v>
      </c>
      <c r="B71" s="372"/>
      <c r="C71" s="372"/>
      <c r="D71" s="372"/>
    </row>
    <row r="72" spans="1:4" ht="23.25">
      <c r="A72" s="255"/>
      <c r="B72" s="255" t="s">
        <v>269</v>
      </c>
      <c r="C72" s="322" t="s">
        <v>39</v>
      </c>
      <c r="D72" s="322" t="s">
        <v>270</v>
      </c>
    </row>
    <row r="73" spans="1:4" ht="23.25">
      <c r="A73" s="229" t="s">
        <v>271</v>
      </c>
      <c r="B73" s="230">
        <v>41000000</v>
      </c>
      <c r="C73" s="231"/>
      <c r="D73" s="231"/>
    </row>
    <row r="74" spans="1:4" ht="23.25">
      <c r="A74" s="232" t="s">
        <v>272</v>
      </c>
      <c r="B74" s="233" t="s">
        <v>273</v>
      </c>
      <c r="C74" s="234"/>
      <c r="D74" s="235"/>
    </row>
    <row r="75" spans="1:5" ht="23.25">
      <c r="A75" s="253" t="s">
        <v>274</v>
      </c>
      <c r="B75" s="238" t="s">
        <v>275</v>
      </c>
      <c r="C75" s="254">
        <v>17000</v>
      </c>
      <c r="D75" s="254">
        <v>0</v>
      </c>
      <c r="E75" s="321"/>
    </row>
    <row r="76" spans="1:4" ht="23.25">
      <c r="A76" s="253" t="s">
        <v>276</v>
      </c>
      <c r="B76" s="238" t="s">
        <v>277</v>
      </c>
      <c r="C76" s="254">
        <v>40000</v>
      </c>
      <c r="D76" s="323">
        <v>0</v>
      </c>
    </row>
    <row r="77" spans="1:4" ht="23.25">
      <c r="A77" s="253" t="s">
        <v>278</v>
      </c>
      <c r="B77" s="238" t="s">
        <v>279</v>
      </c>
      <c r="C77" s="254">
        <v>1000</v>
      </c>
      <c r="D77" s="323">
        <v>0</v>
      </c>
    </row>
    <row r="78" spans="1:4" ht="23.25">
      <c r="A78" s="237" t="s">
        <v>46</v>
      </c>
      <c r="B78" s="238"/>
      <c r="C78" s="239">
        <f>SUM(C75:C77)</f>
        <v>58000</v>
      </c>
      <c r="D78" s="239">
        <f>SUM(D75:D77)</f>
        <v>0</v>
      </c>
    </row>
    <row r="79" spans="1:4" ht="23.25">
      <c r="A79" s="232" t="s">
        <v>280</v>
      </c>
      <c r="B79" s="233" t="s">
        <v>281</v>
      </c>
      <c r="C79" s="234"/>
      <c r="D79" s="234"/>
    </row>
    <row r="80" spans="1:4" ht="23.25">
      <c r="A80" s="253" t="s">
        <v>333</v>
      </c>
      <c r="B80" s="238" t="s">
        <v>338</v>
      </c>
      <c r="C80" s="254">
        <v>3000</v>
      </c>
      <c r="D80" s="254">
        <f>1382+1975+20</f>
        <v>3377</v>
      </c>
    </row>
    <row r="81" spans="1:4" ht="23.25">
      <c r="A81" s="253" t="s">
        <v>334</v>
      </c>
      <c r="B81" s="238" t="s">
        <v>283</v>
      </c>
      <c r="C81" s="254">
        <v>500</v>
      </c>
      <c r="D81" s="254">
        <v>50</v>
      </c>
    </row>
    <row r="82" spans="1:4" ht="23.25">
      <c r="A82" s="253" t="s">
        <v>335</v>
      </c>
      <c r="B82" s="238" t="s">
        <v>339</v>
      </c>
      <c r="C82" s="254">
        <v>500</v>
      </c>
      <c r="D82" s="254">
        <v>0</v>
      </c>
    </row>
    <row r="83" spans="1:4" ht="23.25">
      <c r="A83" s="253" t="s">
        <v>284</v>
      </c>
      <c r="B83" s="324" t="s">
        <v>285</v>
      </c>
      <c r="C83" s="254">
        <v>1000</v>
      </c>
      <c r="D83" s="254">
        <f>1000+5900</f>
        <v>6900</v>
      </c>
    </row>
    <row r="84" spans="1:4" ht="23.25">
      <c r="A84" s="253" t="s">
        <v>286</v>
      </c>
      <c r="B84" s="238" t="s">
        <v>287</v>
      </c>
      <c r="C84" s="254">
        <v>20000</v>
      </c>
      <c r="D84" s="254">
        <v>0</v>
      </c>
    </row>
    <row r="85" spans="1:4" ht="23.25">
      <c r="A85" s="253" t="s">
        <v>336</v>
      </c>
      <c r="B85" s="238" t="s">
        <v>282</v>
      </c>
      <c r="C85" s="254">
        <v>1000</v>
      </c>
      <c r="D85" s="254">
        <f>19.4+77.6</f>
        <v>97</v>
      </c>
    </row>
    <row r="86" spans="1:4" ht="23.25">
      <c r="A86" s="253"/>
      <c r="B86" s="238"/>
      <c r="C86" s="254"/>
      <c r="D86" s="254"/>
    </row>
    <row r="87" spans="1:4" ht="23.25">
      <c r="A87" s="237" t="s">
        <v>46</v>
      </c>
      <c r="B87" s="238"/>
      <c r="C87" s="239">
        <f>SUM(C80:C85)</f>
        <v>26000</v>
      </c>
      <c r="D87" s="239">
        <f>SUM(D80:D85)</f>
        <v>10424</v>
      </c>
    </row>
    <row r="88" spans="1:4" ht="23.25">
      <c r="A88" s="232" t="s">
        <v>288</v>
      </c>
      <c r="B88" s="233" t="s">
        <v>289</v>
      </c>
      <c r="C88" s="234"/>
      <c r="D88" s="234"/>
    </row>
    <row r="89" spans="1:4" ht="23.25">
      <c r="A89" s="253" t="s">
        <v>290</v>
      </c>
      <c r="B89" s="238" t="s">
        <v>291</v>
      </c>
      <c r="C89" s="254">
        <v>70000</v>
      </c>
      <c r="D89" s="325">
        <v>0</v>
      </c>
    </row>
    <row r="90" spans="1:4" ht="23.25">
      <c r="A90" s="237" t="s">
        <v>46</v>
      </c>
      <c r="B90" s="238"/>
      <c r="C90" s="239">
        <f>SUM(C89:C89)</f>
        <v>70000</v>
      </c>
      <c r="D90" s="239">
        <f>SUM(D89:D89)</f>
        <v>0</v>
      </c>
    </row>
    <row r="91" spans="1:4" ht="23.25">
      <c r="A91" s="232" t="s">
        <v>292</v>
      </c>
      <c r="B91" s="233" t="s">
        <v>293</v>
      </c>
      <c r="C91" s="234">
        <f>SUM(C92:C92)</f>
        <v>0</v>
      </c>
      <c r="D91" s="234">
        <f>SUM(D92:D92)</f>
        <v>0</v>
      </c>
    </row>
    <row r="92" spans="1:4" ht="23.25">
      <c r="A92" s="253"/>
      <c r="B92" s="238"/>
      <c r="C92" s="254"/>
      <c r="D92" s="254"/>
    </row>
    <row r="93" spans="1:4" ht="23.25">
      <c r="A93" s="237" t="s">
        <v>46</v>
      </c>
      <c r="B93" s="238"/>
      <c r="C93" s="239">
        <f>SUM(C92:C92)</f>
        <v>0</v>
      </c>
      <c r="D93" s="239">
        <f>SUM(D92:D92)</f>
        <v>0</v>
      </c>
    </row>
    <row r="94" spans="1:4" ht="23.25">
      <c r="A94" s="232" t="s">
        <v>294</v>
      </c>
      <c r="B94" s="233" t="s">
        <v>295</v>
      </c>
      <c r="C94" s="234"/>
      <c r="D94" s="234"/>
    </row>
    <row r="95" spans="1:4" ht="23.25">
      <c r="A95" s="253" t="s">
        <v>296</v>
      </c>
      <c r="B95" s="238" t="s">
        <v>297</v>
      </c>
      <c r="C95" s="254">
        <v>40000</v>
      </c>
      <c r="D95" s="254">
        <v>5200</v>
      </c>
    </row>
    <row r="96" spans="1:4" ht="23.25">
      <c r="A96" s="253" t="s">
        <v>298</v>
      </c>
      <c r="B96" s="238" t="s">
        <v>299</v>
      </c>
      <c r="C96" s="254">
        <v>1000</v>
      </c>
      <c r="D96" s="254">
        <v>8169.4</v>
      </c>
    </row>
    <row r="97" spans="1:4" ht="23.25">
      <c r="A97" s="240" t="s">
        <v>46</v>
      </c>
      <c r="B97" s="240"/>
      <c r="C97" s="239">
        <f>SUM(C95:C96)</f>
        <v>41000</v>
      </c>
      <c r="D97" s="239">
        <f>SUM(D95:D96)</f>
        <v>13369.4</v>
      </c>
    </row>
    <row r="98" spans="1:4" ht="23.25">
      <c r="A98" s="146"/>
      <c r="B98" s="146"/>
      <c r="C98" s="326"/>
      <c r="D98" s="326"/>
    </row>
    <row r="99" spans="1:4" ht="23.25">
      <c r="A99" s="146"/>
      <c r="B99" s="146"/>
      <c r="C99" s="326"/>
      <c r="D99" s="326"/>
    </row>
    <row r="100" spans="1:4" ht="23.25">
      <c r="A100" s="210" t="s">
        <v>340</v>
      </c>
      <c r="B100" s="145"/>
      <c r="D100" s="145"/>
    </row>
    <row r="101" spans="1:4" ht="23.25">
      <c r="A101" s="210" t="s">
        <v>372</v>
      </c>
      <c r="B101" s="145"/>
      <c r="D101" s="145"/>
    </row>
    <row r="102" spans="1:4" ht="23.25">
      <c r="A102" s="210" t="s">
        <v>337</v>
      </c>
      <c r="B102" s="145"/>
      <c r="D102" s="145"/>
    </row>
    <row r="103" spans="1:2" ht="23.25">
      <c r="A103" s="210"/>
      <c r="B103" s="145">
        <v>-2</v>
      </c>
    </row>
    <row r="104" spans="1:4" ht="23.25">
      <c r="A104" s="255"/>
      <c r="B104" s="255" t="s">
        <v>30</v>
      </c>
      <c r="C104" s="322" t="s">
        <v>39</v>
      </c>
      <c r="D104" s="322" t="s">
        <v>270</v>
      </c>
    </row>
    <row r="105" spans="1:4" ht="23.25">
      <c r="A105" s="241" t="s">
        <v>300</v>
      </c>
      <c r="B105" s="242" t="s">
        <v>301</v>
      </c>
      <c r="C105" s="142"/>
      <c r="D105" s="143"/>
    </row>
    <row r="106" spans="1:4" ht="23.25">
      <c r="A106" s="232" t="s">
        <v>302</v>
      </c>
      <c r="B106" s="233" t="s">
        <v>303</v>
      </c>
      <c r="C106" s="234"/>
      <c r="D106" s="234"/>
    </row>
    <row r="107" spans="1:4" ht="23.25">
      <c r="A107" s="253" t="s">
        <v>304</v>
      </c>
      <c r="B107" s="238" t="s">
        <v>305</v>
      </c>
      <c r="C107" s="254">
        <v>160000</v>
      </c>
      <c r="D107" s="254">
        <v>0</v>
      </c>
    </row>
    <row r="108" spans="1:4" ht="23.25">
      <c r="A108" s="253" t="s">
        <v>306</v>
      </c>
      <c r="B108" s="238" t="s">
        <v>307</v>
      </c>
      <c r="C108" s="254">
        <v>9140000</v>
      </c>
      <c r="D108" s="254">
        <f>1479825.59+732974.31</f>
        <v>2212799.9000000004</v>
      </c>
    </row>
    <row r="109" spans="1:4" ht="23.25">
      <c r="A109" s="253" t="s">
        <v>308</v>
      </c>
      <c r="B109" s="238" t="s">
        <v>309</v>
      </c>
      <c r="C109" s="254">
        <v>1500000</v>
      </c>
      <c r="D109" s="254">
        <f>223111.55+111564.98</f>
        <v>334676.52999999997</v>
      </c>
    </row>
    <row r="110" spans="1:5" ht="23.25">
      <c r="A110" s="253" t="s">
        <v>310</v>
      </c>
      <c r="B110" s="238" t="s">
        <v>311</v>
      </c>
      <c r="C110" s="254">
        <v>80000</v>
      </c>
      <c r="D110" s="254">
        <f>8361.66+7503.48</f>
        <v>15865.14</v>
      </c>
      <c r="E110" s="321"/>
    </row>
    <row r="111" spans="1:4" ht="23.25">
      <c r="A111" s="253" t="s">
        <v>312</v>
      </c>
      <c r="B111" s="238" t="s">
        <v>313</v>
      </c>
      <c r="C111" s="254">
        <v>700000</v>
      </c>
      <c r="D111" s="254">
        <f>104186.51+54104.3</f>
        <v>158290.81</v>
      </c>
    </row>
    <row r="112" spans="1:4" ht="23.25">
      <c r="A112" s="253" t="s">
        <v>314</v>
      </c>
      <c r="B112" s="238" t="s">
        <v>315</v>
      </c>
      <c r="C112" s="254">
        <v>1200000</v>
      </c>
      <c r="D112" s="254">
        <f>275482.82+126002.78</f>
        <v>401485.6</v>
      </c>
    </row>
    <row r="113" spans="1:4" ht="23.25">
      <c r="A113" s="253" t="s">
        <v>316</v>
      </c>
      <c r="B113" s="238" t="s">
        <v>317</v>
      </c>
      <c r="C113" s="254">
        <v>30000</v>
      </c>
      <c r="D113" s="325">
        <v>0</v>
      </c>
    </row>
    <row r="114" spans="1:4" ht="23.25">
      <c r="A114" s="253" t="s">
        <v>318</v>
      </c>
      <c r="B114" s="238" t="s">
        <v>319</v>
      </c>
      <c r="C114" s="254">
        <v>40000</v>
      </c>
      <c r="D114" s="254">
        <v>5473.67</v>
      </c>
    </row>
    <row r="115" spans="1:4" ht="23.25">
      <c r="A115" s="253" t="s">
        <v>320</v>
      </c>
      <c r="B115" s="238" t="s">
        <v>321</v>
      </c>
      <c r="C115" s="254">
        <v>300000</v>
      </c>
      <c r="D115" s="254">
        <f>22520+32955</f>
        <v>55475</v>
      </c>
    </row>
    <row r="116" spans="1:4" ht="23.25">
      <c r="A116" s="253" t="s">
        <v>342</v>
      </c>
      <c r="B116" s="238" t="s">
        <v>343</v>
      </c>
      <c r="C116" s="254">
        <v>500</v>
      </c>
      <c r="D116" s="254"/>
    </row>
    <row r="117" spans="1:4" ht="23.25">
      <c r="A117" s="253"/>
      <c r="B117" s="238"/>
      <c r="C117" s="254"/>
      <c r="D117" s="327"/>
    </row>
    <row r="118" spans="1:4" ht="23.25">
      <c r="A118" s="237" t="s">
        <v>46</v>
      </c>
      <c r="B118" s="238"/>
      <c r="C118" s="239">
        <f>SUM(C107:C117)</f>
        <v>13150500</v>
      </c>
      <c r="D118" s="239">
        <f>SUM(D107:D117)</f>
        <v>3184066.6500000004</v>
      </c>
    </row>
    <row r="119" spans="1:4" ht="23.25">
      <c r="A119" s="241" t="s">
        <v>322</v>
      </c>
      <c r="B119" s="242" t="s">
        <v>323</v>
      </c>
      <c r="C119" s="205"/>
      <c r="D119" s="205"/>
    </row>
    <row r="120" spans="1:4" ht="23.25">
      <c r="A120" s="243" t="s">
        <v>324</v>
      </c>
      <c r="B120" s="242" t="s">
        <v>325</v>
      </c>
      <c r="C120" s="205">
        <f>SUM(C121:C122)</f>
        <v>14304500</v>
      </c>
      <c r="D120" s="205">
        <f>SUM(D121:D122)</f>
        <v>3261953</v>
      </c>
    </row>
    <row r="121" spans="1:4" ht="23.25">
      <c r="A121" s="253" t="s">
        <v>326</v>
      </c>
      <c r="B121" s="238" t="s">
        <v>327</v>
      </c>
      <c r="C121" s="254">
        <v>14304500</v>
      </c>
      <c r="D121" s="325">
        <v>3261953</v>
      </c>
    </row>
    <row r="122" spans="1:4" ht="23.25">
      <c r="A122" s="13" t="s">
        <v>328</v>
      </c>
      <c r="B122" s="328"/>
      <c r="C122" s="142"/>
      <c r="D122" s="142"/>
    </row>
    <row r="123" spans="1:4" ht="23.25">
      <c r="A123" s="237" t="s">
        <v>46</v>
      </c>
      <c r="B123" s="238"/>
      <c r="C123" s="239">
        <f>SUM(C121:C122)</f>
        <v>14304500</v>
      </c>
      <c r="D123" s="239">
        <f>SUM(D121:D122)</f>
        <v>3261953</v>
      </c>
    </row>
    <row r="124" spans="1:4" ht="23.25">
      <c r="A124" s="373" t="s">
        <v>329</v>
      </c>
      <c r="B124" s="374"/>
      <c r="C124" s="239">
        <f>SUM(C78+C87+C90+C93+C97+C118+C123)</f>
        <v>27650000</v>
      </c>
      <c r="D124" s="239">
        <f>SUM(D78+D87+D90+D93+D97+D118+D123)</f>
        <v>6469813.050000001</v>
      </c>
    </row>
    <row r="125" spans="2:4" ht="23.25">
      <c r="B125" s="145"/>
      <c r="C125" s="188"/>
      <c r="D125" s="188"/>
    </row>
    <row r="126" spans="2:4" ht="23.25">
      <c r="B126" s="145"/>
      <c r="C126" s="188"/>
      <c r="D126" s="188"/>
    </row>
    <row r="127" spans="1:4" ht="23.25">
      <c r="A127" s="210" t="s">
        <v>332</v>
      </c>
      <c r="B127" s="145"/>
      <c r="D127" s="145"/>
    </row>
    <row r="128" spans="1:4" ht="23.25">
      <c r="A128" s="210" t="s">
        <v>373</v>
      </c>
      <c r="B128" s="145"/>
      <c r="D128" s="145"/>
    </row>
    <row r="129" spans="1:4" ht="23.25">
      <c r="A129" s="210" t="s">
        <v>331</v>
      </c>
      <c r="B129" s="145"/>
      <c r="D129" s="145"/>
    </row>
    <row r="130" spans="2:4" ht="23.25">
      <c r="B130" s="145"/>
      <c r="C130" s="188"/>
      <c r="D130" s="188"/>
    </row>
    <row r="134" spans="2:4" ht="23.25">
      <c r="B134" s="145"/>
      <c r="D134" s="145"/>
    </row>
    <row r="137" spans="1:4" ht="23.25">
      <c r="A137" s="343" t="s">
        <v>330</v>
      </c>
      <c r="B137" s="343"/>
      <c r="C137" s="343"/>
      <c r="D137" s="343"/>
    </row>
    <row r="138" spans="1:4" ht="23.25">
      <c r="A138" s="343" t="s">
        <v>268</v>
      </c>
      <c r="B138" s="343"/>
      <c r="C138" s="343"/>
      <c r="D138" s="343"/>
    </row>
    <row r="139" spans="1:4" ht="23.25">
      <c r="A139" s="372" t="s">
        <v>403</v>
      </c>
      <c r="B139" s="372"/>
      <c r="C139" s="372"/>
      <c r="D139" s="372"/>
    </row>
    <row r="140" spans="1:4" ht="23.25">
      <c r="A140" s="255"/>
      <c r="B140" s="255" t="s">
        <v>269</v>
      </c>
      <c r="C140" s="322" t="s">
        <v>39</v>
      </c>
      <c r="D140" s="322" t="s">
        <v>270</v>
      </c>
    </row>
    <row r="141" spans="1:4" ht="23.25">
      <c r="A141" s="229" t="s">
        <v>271</v>
      </c>
      <c r="B141" s="230">
        <v>41000000</v>
      </c>
      <c r="C141" s="231"/>
      <c r="D141" s="231"/>
    </row>
    <row r="142" spans="1:4" ht="23.25">
      <c r="A142" s="232" t="s">
        <v>272</v>
      </c>
      <c r="B142" s="233" t="s">
        <v>273</v>
      </c>
      <c r="C142" s="234"/>
      <c r="D142" s="235"/>
    </row>
    <row r="143" spans="1:5" ht="23.25">
      <c r="A143" s="253" t="s">
        <v>274</v>
      </c>
      <c r="B143" s="238" t="s">
        <v>275</v>
      </c>
      <c r="C143" s="254">
        <v>17000</v>
      </c>
      <c r="D143" s="254">
        <v>1275.5</v>
      </c>
      <c r="E143" s="321"/>
    </row>
    <row r="144" spans="1:4" ht="23.25">
      <c r="A144" s="253" t="s">
        <v>276</v>
      </c>
      <c r="B144" s="238" t="s">
        <v>277</v>
      </c>
      <c r="C144" s="254">
        <v>40000</v>
      </c>
      <c r="D144" s="323">
        <v>10018.32</v>
      </c>
    </row>
    <row r="145" spans="1:4" ht="23.25">
      <c r="A145" s="253" t="s">
        <v>278</v>
      </c>
      <c r="B145" s="238" t="s">
        <v>279</v>
      </c>
      <c r="C145" s="254">
        <v>1000</v>
      </c>
      <c r="D145" s="323">
        <v>0</v>
      </c>
    </row>
    <row r="146" spans="1:4" ht="23.25">
      <c r="A146" s="237" t="s">
        <v>46</v>
      </c>
      <c r="B146" s="238"/>
      <c r="C146" s="239">
        <f>SUM(C143:C145)</f>
        <v>58000</v>
      </c>
      <c r="D146" s="239">
        <f>SUM(D143:D145)</f>
        <v>11293.82</v>
      </c>
    </row>
    <row r="147" spans="1:4" ht="23.25">
      <c r="A147" s="232" t="s">
        <v>280</v>
      </c>
      <c r="B147" s="233" t="s">
        <v>281</v>
      </c>
      <c r="C147" s="234"/>
      <c r="D147" s="234"/>
    </row>
    <row r="148" spans="1:4" ht="23.25">
      <c r="A148" s="253" t="s">
        <v>333</v>
      </c>
      <c r="B148" s="238" t="s">
        <v>338</v>
      </c>
      <c r="C148" s="254">
        <v>3000</v>
      </c>
      <c r="D148" s="254">
        <f>1382+1975+20</f>
        <v>3377</v>
      </c>
    </row>
    <row r="149" spans="1:4" ht="23.25">
      <c r="A149" s="253" t="s">
        <v>334</v>
      </c>
      <c r="B149" s="238" t="s">
        <v>283</v>
      </c>
      <c r="C149" s="254">
        <v>500</v>
      </c>
      <c r="D149" s="254">
        <v>50</v>
      </c>
    </row>
    <row r="150" spans="1:4" ht="23.25">
      <c r="A150" s="253" t="s">
        <v>335</v>
      </c>
      <c r="B150" s="238" t="s">
        <v>339</v>
      </c>
      <c r="C150" s="254">
        <v>500</v>
      </c>
      <c r="D150" s="254">
        <v>0</v>
      </c>
    </row>
    <row r="151" spans="1:4" ht="23.25">
      <c r="A151" s="253" t="s">
        <v>284</v>
      </c>
      <c r="B151" s="324" t="s">
        <v>285</v>
      </c>
      <c r="C151" s="254">
        <v>1000</v>
      </c>
      <c r="D151" s="254">
        <f>1000+5900</f>
        <v>6900</v>
      </c>
    </row>
    <row r="152" spans="1:4" ht="23.25">
      <c r="A152" s="253" t="s">
        <v>286</v>
      </c>
      <c r="B152" s="238" t="s">
        <v>287</v>
      </c>
      <c r="C152" s="254">
        <v>20000</v>
      </c>
      <c r="D152" s="254">
        <v>500</v>
      </c>
    </row>
    <row r="153" spans="1:4" ht="23.25">
      <c r="A153" s="253" t="s">
        <v>336</v>
      </c>
      <c r="B153" s="238" t="s">
        <v>282</v>
      </c>
      <c r="C153" s="254">
        <v>1000</v>
      </c>
      <c r="D153" s="254">
        <f>19.4+77.6</f>
        <v>97</v>
      </c>
    </row>
    <row r="154" spans="1:4" ht="23.25">
      <c r="A154" s="253"/>
      <c r="B154" s="238"/>
      <c r="C154" s="254"/>
      <c r="D154" s="254"/>
    </row>
    <row r="155" spans="1:4" ht="23.25">
      <c r="A155" s="237" t="s">
        <v>46</v>
      </c>
      <c r="B155" s="238"/>
      <c r="C155" s="239">
        <f>SUM(C148:C153)</f>
        <v>26000</v>
      </c>
      <c r="D155" s="239">
        <f>SUM(D148:D153)</f>
        <v>10924</v>
      </c>
    </row>
    <row r="156" spans="1:4" ht="23.25">
      <c r="A156" s="232" t="s">
        <v>288</v>
      </c>
      <c r="B156" s="233" t="s">
        <v>289</v>
      </c>
      <c r="C156" s="234"/>
      <c r="D156" s="234"/>
    </row>
    <row r="157" spans="1:4" ht="23.25">
      <c r="A157" s="253" t="s">
        <v>290</v>
      </c>
      <c r="B157" s="238" t="s">
        <v>291</v>
      </c>
      <c r="C157" s="254">
        <v>70000</v>
      </c>
      <c r="D157" s="325">
        <v>0</v>
      </c>
    </row>
    <row r="158" spans="1:4" ht="23.25">
      <c r="A158" s="237" t="s">
        <v>46</v>
      </c>
      <c r="B158" s="238"/>
      <c r="C158" s="239">
        <f>SUM(C157:C157)</f>
        <v>70000</v>
      </c>
      <c r="D158" s="239">
        <f>SUM(D157:D157)</f>
        <v>0</v>
      </c>
    </row>
    <row r="159" spans="1:4" ht="23.25">
      <c r="A159" s="232" t="s">
        <v>292</v>
      </c>
      <c r="B159" s="233" t="s">
        <v>293</v>
      </c>
      <c r="C159" s="234">
        <f>SUM(C160:C160)</f>
        <v>0</v>
      </c>
      <c r="D159" s="234">
        <f>SUM(D160:D160)</f>
        <v>0</v>
      </c>
    </row>
    <row r="160" spans="1:4" ht="23.25">
      <c r="A160" s="253"/>
      <c r="B160" s="238"/>
      <c r="C160" s="254"/>
      <c r="D160" s="254"/>
    </row>
    <row r="161" spans="1:4" ht="23.25">
      <c r="A161" s="237" t="s">
        <v>46</v>
      </c>
      <c r="B161" s="238"/>
      <c r="C161" s="239">
        <f>SUM(C160:C160)</f>
        <v>0</v>
      </c>
      <c r="D161" s="239">
        <f>SUM(D160:D160)</f>
        <v>0</v>
      </c>
    </row>
    <row r="162" spans="1:4" ht="23.25">
      <c r="A162" s="232" t="s">
        <v>294</v>
      </c>
      <c r="B162" s="233" t="s">
        <v>295</v>
      </c>
      <c r="C162" s="234"/>
      <c r="D162" s="234"/>
    </row>
    <row r="163" spans="1:4" ht="23.25">
      <c r="A163" s="253" t="s">
        <v>296</v>
      </c>
      <c r="B163" s="238" t="s">
        <v>297</v>
      </c>
      <c r="C163" s="254">
        <v>40000</v>
      </c>
      <c r="D163" s="254">
        <v>5200</v>
      </c>
    </row>
    <row r="164" spans="1:4" ht="23.25">
      <c r="A164" s="253" t="s">
        <v>298</v>
      </c>
      <c r="B164" s="238" t="s">
        <v>299</v>
      </c>
      <c r="C164" s="254">
        <v>1000</v>
      </c>
      <c r="D164" s="254">
        <v>8169.4</v>
      </c>
    </row>
    <row r="165" spans="1:4" ht="23.25">
      <c r="A165" s="240" t="s">
        <v>46</v>
      </c>
      <c r="B165" s="240"/>
      <c r="C165" s="239">
        <f>SUM(C163:C164)</f>
        <v>41000</v>
      </c>
      <c r="D165" s="239">
        <f>SUM(D163:D164)</f>
        <v>13369.4</v>
      </c>
    </row>
    <row r="166" spans="1:4" ht="23.25">
      <c r="A166" s="280"/>
      <c r="B166" s="280"/>
      <c r="C166" s="281"/>
      <c r="D166" s="281"/>
    </row>
    <row r="167" spans="1:4" ht="23.25">
      <c r="A167" s="146"/>
      <c r="B167" s="146"/>
      <c r="C167" s="326"/>
      <c r="D167" s="326"/>
    </row>
    <row r="168" spans="1:4" ht="23.25">
      <c r="A168" s="210" t="s">
        <v>332</v>
      </c>
      <c r="B168" s="145"/>
      <c r="D168" s="145"/>
    </row>
    <row r="169" spans="1:4" ht="23.25">
      <c r="A169" s="210" t="s">
        <v>373</v>
      </c>
      <c r="B169" s="145"/>
      <c r="D169" s="145"/>
    </row>
    <row r="170" spans="1:4" ht="23.25">
      <c r="A170" s="210" t="s">
        <v>331</v>
      </c>
      <c r="B170" s="145"/>
      <c r="D170" s="145"/>
    </row>
    <row r="171" spans="1:4" ht="23.25">
      <c r="A171" s="210"/>
      <c r="B171" s="145"/>
      <c r="D171" s="145"/>
    </row>
    <row r="172" spans="1:2" ht="23.25">
      <c r="A172" s="210"/>
      <c r="B172" s="145">
        <v>-2</v>
      </c>
    </row>
    <row r="173" spans="1:4" ht="23.25">
      <c r="A173" s="255"/>
      <c r="B173" s="255" t="s">
        <v>30</v>
      </c>
      <c r="C173" s="322" t="s">
        <v>39</v>
      </c>
      <c r="D173" s="322" t="s">
        <v>270</v>
      </c>
    </row>
    <row r="174" spans="1:4" ht="23.25">
      <c r="A174" s="241" t="s">
        <v>300</v>
      </c>
      <c r="B174" s="242" t="s">
        <v>301</v>
      </c>
      <c r="C174" s="142"/>
      <c r="D174" s="143"/>
    </row>
    <row r="175" spans="1:4" ht="23.25">
      <c r="A175" s="232" t="s">
        <v>302</v>
      </c>
      <c r="B175" s="233" t="s">
        <v>303</v>
      </c>
      <c r="C175" s="234"/>
      <c r="D175" s="234"/>
    </row>
    <row r="176" spans="1:4" ht="23.25">
      <c r="A176" s="253" t="s">
        <v>304</v>
      </c>
      <c r="B176" s="238" t="s">
        <v>305</v>
      </c>
      <c r="C176" s="254">
        <v>160000</v>
      </c>
      <c r="D176" s="254">
        <v>0</v>
      </c>
    </row>
    <row r="177" spans="1:4" ht="23.25">
      <c r="A177" s="253" t="s">
        <v>306</v>
      </c>
      <c r="B177" s="238" t="s">
        <v>307</v>
      </c>
      <c r="C177" s="254">
        <v>9140000</v>
      </c>
      <c r="D177" s="254">
        <f>1479825.59+732974.31</f>
        <v>2212799.9000000004</v>
      </c>
    </row>
    <row r="178" spans="1:4" ht="23.25">
      <c r="A178" s="253" t="s">
        <v>308</v>
      </c>
      <c r="B178" s="238" t="s">
        <v>309</v>
      </c>
      <c r="C178" s="254">
        <v>1500000</v>
      </c>
      <c r="D178" s="254">
        <f>223111.55+111564.98+143657.5</f>
        <v>478334.02999999997</v>
      </c>
    </row>
    <row r="179" spans="1:5" ht="23.25">
      <c r="A179" s="253" t="s">
        <v>310</v>
      </c>
      <c r="B179" s="238" t="s">
        <v>311</v>
      </c>
      <c r="C179" s="254">
        <v>80000</v>
      </c>
      <c r="D179" s="254">
        <f>8361.66+7503.48+5991.83</f>
        <v>21856.97</v>
      </c>
      <c r="E179" s="321"/>
    </row>
    <row r="180" spans="1:4" ht="23.25">
      <c r="A180" s="253" t="s">
        <v>312</v>
      </c>
      <c r="B180" s="238" t="s">
        <v>313</v>
      </c>
      <c r="C180" s="254">
        <v>700000</v>
      </c>
      <c r="D180" s="254">
        <f>104186.51+54104.3+77347.6</f>
        <v>235638.41</v>
      </c>
    </row>
    <row r="181" spans="1:4" ht="23.25">
      <c r="A181" s="253" t="s">
        <v>314</v>
      </c>
      <c r="B181" s="238" t="s">
        <v>315</v>
      </c>
      <c r="C181" s="254">
        <v>1200000</v>
      </c>
      <c r="D181" s="254">
        <f>275482.82+126002.78+160661.4</f>
        <v>562147</v>
      </c>
    </row>
    <row r="182" spans="1:4" ht="23.25">
      <c r="A182" s="253" t="s">
        <v>316</v>
      </c>
      <c r="B182" s="238" t="s">
        <v>317</v>
      </c>
      <c r="C182" s="254">
        <v>30000</v>
      </c>
      <c r="D182" s="325">
        <v>0</v>
      </c>
    </row>
    <row r="183" spans="1:4" ht="23.25">
      <c r="A183" s="253" t="s">
        <v>318</v>
      </c>
      <c r="B183" s="238" t="s">
        <v>319</v>
      </c>
      <c r="C183" s="254">
        <v>40000</v>
      </c>
      <c r="D183" s="254">
        <f>5473.67+5110.41</f>
        <v>10584.08</v>
      </c>
    </row>
    <row r="184" spans="1:4" ht="23.25">
      <c r="A184" s="253" t="s">
        <v>320</v>
      </c>
      <c r="B184" s="238" t="s">
        <v>321</v>
      </c>
      <c r="C184" s="254">
        <v>300000</v>
      </c>
      <c r="D184" s="254">
        <f>22520+32955+53903</f>
        <v>109378</v>
      </c>
    </row>
    <row r="185" spans="1:4" ht="23.25">
      <c r="A185" s="253" t="s">
        <v>342</v>
      </c>
      <c r="B185" s="238" t="s">
        <v>343</v>
      </c>
      <c r="C185" s="254">
        <v>500</v>
      </c>
      <c r="D185" s="254"/>
    </row>
    <row r="186" spans="1:4" ht="23.25">
      <c r="A186" s="253"/>
      <c r="B186" s="238"/>
      <c r="C186" s="254"/>
      <c r="D186" s="327"/>
    </row>
    <row r="187" spans="1:4" ht="23.25">
      <c r="A187" s="237" t="s">
        <v>46</v>
      </c>
      <c r="B187" s="238"/>
      <c r="C187" s="239">
        <f>SUM(C176:C186)</f>
        <v>13150500</v>
      </c>
      <c r="D187" s="239">
        <f>SUM(D176:D186)</f>
        <v>3630738.3900000006</v>
      </c>
    </row>
    <row r="188" spans="1:4" ht="23.25">
      <c r="A188" s="241" t="s">
        <v>322</v>
      </c>
      <c r="B188" s="242" t="s">
        <v>323</v>
      </c>
      <c r="C188" s="205"/>
      <c r="D188" s="205"/>
    </row>
    <row r="189" spans="1:4" ht="23.25">
      <c r="A189" s="243" t="s">
        <v>324</v>
      </c>
      <c r="B189" s="242" t="s">
        <v>325</v>
      </c>
      <c r="C189" s="205">
        <f>SUM(C190:C191)</f>
        <v>14304500</v>
      </c>
      <c r="D189" s="205">
        <f>SUM(D190:D192)</f>
        <v>6423887</v>
      </c>
    </row>
    <row r="190" spans="1:4" ht="23.25">
      <c r="A190" s="253" t="s">
        <v>326</v>
      </c>
      <c r="B190" s="238" t="s">
        <v>327</v>
      </c>
      <c r="C190" s="254">
        <v>14304500</v>
      </c>
      <c r="D190" s="325">
        <v>2663261</v>
      </c>
    </row>
    <row r="191" spans="1:4" ht="23.25">
      <c r="A191" s="13" t="s">
        <v>328</v>
      </c>
      <c r="B191" s="328"/>
      <c r="C191" s="142"/>
      <c r="D191" s="142"/>
    </row>
    <row r="192" spans="1:4" ht="23.25">
      <c r="A192" s="13" t="s">
        <v>404</v>
      </c>
      <c r="B192" s="328"/>
      <c r="C192" s="142"/>
      <c r="D192" s="142">
        <f>2131600+350400+12000+213900+100300+56528+147500+242398+506000</f>
        <v>3760626</v>
      </c>
    </row>
    <row r="193" spans="1:4" ht="23.25">
      <c r="A193" s="237" t="s">
        <v>46</v>
      </c>
      <c r="B193" s="238"/>
      <c r="C193" s="239">
        <f>SUM(C190:C191)</f>
        <v>14304500</v>
      </c>
      <c r="D193" s="239">
        <f>SUM(D190:D192)</f>
        <v>6423887</v>
      </c>
    </row>
    <row r="194" spans="1:4" ht="23.25">
      <c r="A194" s="373" t="s">
        <v>329</v>
      </c>
      <c r="B194" s="374"/>
      <c r="C194" s="239">
        <f>SUM(C146+C155+C158+C161+C165+C187+C193)</f>
        <v>27650000</v>
      </c>
      <c r="D194" s="239">
        <f>SUM(D146+D155+D158+D161+D165+D187+D189)</f>
        <v>10090212.610000001</v>
      </c>
    </row>
    <row r="195" spans="2:8" ht="23.25">
      <c r="B195" s="145"/>
      <c r="C195" s="188"/>
      <c r="D195" s="188"/>
      <c r="H195" s="187"/>
    </row>
    <row r="196" spans="2:4" ht="23.25">
      <c r="B196" s="145"/>
      <c r="C196" s="188"/>
      <c r="D196" s="188"/>
    </row>
    <row r="197" spans="1:4" ht="23.25">
      <c r="A197" s="210" t="s">
        <v>332</v>
      </c>
      <c r="B197" s="145"/>
      <c r="D197" s="145"/>
    </row>
    <row r="198" spans="1:4" ht="23.25">
      <c r="A198" s="210" t="s">
        <v>373</v>
      </c>
      <c r="B198" s="145"/>
      <c r="D198" s="145"/>
    </row>
    <row r="199" spans="1:4" ht="23.25">
      <c r="A199" s="210" t="s">
        <v>331</v>
      </c>
      <c r="B199" s="145"/>
      <c r="D199" s="145"/>
    </row>
    <row r="200" spans="2:4" ht="23.25">
      <c r="B200" s="145"/>
      <c r="C200" s="188"/>
      <c r="D200" s="188"/>
    </row>
    <row r="204" spans="2:4" ht="23.25">
      <c r="B204" s="145"/>
      <c r="D204" s="145"/>
    </row>
    <row r="205" spans="1:4" ht="23.25">
      <c r="A205" s="343" t="s">
        <v>330</v>
      </c>
      <c r="B205" s="343"/>
      <c r="C205" s="343"/>
      <c r="D205" s="343"/>
    </row>
    <row r="206" spans="1:4" ht="23.25">
      <c r="A206" s="343" t="s">
        <v>268</v>
      </c>
      <c r="B206" s="343"/>
      <c r="C206" s="343"/>
      <c r="D206" s="343"/>
    </row>
    <row r="207" spans="1:4" ht="23.25">
      <c r="A207" s="372" t="s">
        <v>412</v>
      </c>
      <c r="B207" s="372"/>
      <c r="C207" s="372"/>
      <c r="D207" s="372"/>
    </row>
    <row r="208" spans="1:4" ht="23.25">
      <c r="A208" s="255"/>
      <c r="B208" s="255" t="s">
        <v>269</v>
      </c>
      <c r="C208" s="322" t="s">
        <v>39</v>
      </c>
      <c r="D208" s="322" t="s">
        <v>270</v>
      </c>
    </row>
    <row r="209" spans="1:4" ht="23.25">
      <c r="A209" s="229" t="s">
        <v>271</v>
      </c>
      <c r="B209" s="230">
        <v>41000000</v>
      </c>
      <c r="C209" s="231"/>
      <c r="D209" s="231"/>
    </row>
    <row r="210" spans="1:4" ht="23.25">
      <c r="A210" s="232" t="s">
        <v>272</v>
      </c>
      <c r="B210" s="233" t="s">
        <v>273</v>
      </c>
      <c r="C210" s="234"/>
      <c r="D210" s="235"/>
    </row>
    <row r="211" spans="1:4" ht="23.25">
      <c r="A211" s="253" t="s">
        <v>274</v>
      </c>
      <c r="B211" s="238" t="s">
        <v>275</v>
      </c>
      <c r="C211" s="254">
        <v>17000</v>
      </c>
      <c r="D211" s="254">
        <f>1275.5+21070.25</f>
        <v>22345.75</v>
      </c>
    </row>
    <row r="212" spans="1:4" ht="23.25">
      <c r="A212" s="253" t="s">
        <v>276</v>
      </c>
      <c r="B212" s="238" t="s">
        <v>277</v>
      </c>
      <c r="C212" s="254">
        <v>40000</v>
      </c>
      <c r="D212" s="323">
        <f>10018.32+19942.44</f>
        <v>29960.76</v>
      </c>
    </row>
    <row r="213" spans="1:4" ht="23.25">
      <c r="A213" s="253" t="s">
        <v>278</v>
      </c>
      <c r="B213" s="238" t="s">
        <v>279</v>
      </c>
      <c r="C213" s="254">
        <v>1000</v>
      </c>
      <c r="D213" s="323">
        <v>2000</v>
      </c>
    </row>
    <row r="214" spans="1:4" ht="23.25">
      <c r="A214" s="237" t="s">
        <v>46</v>
      </c>
      <c r="B214" s="238"/>
      <c r="C214" s="239">
        <f>SUM(C211:C213)</f>
        <v>58000</v>
      </c>
      <c r="D214" s="239">
        <f>SUM(D211:D213)</f>
        <v>54306.509999999995</v>
      </c>
    </row>
    <row r="215" spans="1:4" ht="23.25">
      <c r="A215" s="232" t="s">
        <v>280</v>
      </c>
      <c r="B215" s="233" t="s">
        <v>281</v>
      </c>
      <c r="C215" s="234"/>
      <c r="D215" s="234"/>
    </row>
    <row r="216" spans="1:5" ht="23.25">
      <c r="A216" s="253" t="s">
        <v>333</v>
      </c>
      <c r="B216" s="238" t="s">
        <v>338</v>
      </c>
      <c r="C216" s="254">
        <v>3000</v>
      </c>
      <c r="D216" s="254">
        <f>1382+1975+20+567</f>
        <v>3944</v>
      </c>
      <c r="E216" s="321"/>
    </row>
    <row r="217" spans="1:4" ht="23.25">
      <c r="A217" s="253" t="s">
        <v>334</v>
      </c>
      <c r="B217" s="238" t="s">
        <v>283</v>
      </c>
      <c r="C217" s="254">
        <v>500</v>
      </c>
      <c r="D217" s="254">
        <f>50+100</f>
        <v>150</v>
      </c>
    </row>
    <row r="218" spans="1:4" ht="23.25">
      <c r="A218" s="253" t="s">
        <v>335</v>
      </c>
      <c r="B218" s="238" t="s">
        <v>339</v>
      </c>
      <c r="C218" s="254">
        <v>500</v>
      </c>
      <c r="D218" s="254">
        <v>0</v>
      </c>
    </row>
    <row r="219" spans="1:4" ht="23.25">
      <c r="A219" s="253" t="s">
        <v>284</v>
      </c>
      <c r="B219" s="324" t="s">
        <v>285</v>
      </c>
      <c r="C219" s="254">
        <v>1000</v>
      </c>
      <c r="D219" s="254">
        <f>1000+5900</f>
        <v>6900</v>
      </c>
    </row>
    <row r="220" spans="1:4" ht="23.25">
      <c r="A220" s="253" t="s">
        <v>286</v>
      </c>
      <c r="B220" s="238" t="s">
        <v>287</v>
      </c>
      <c r="C220" s="254">
        <v>20000</v>
      </c>
      <c r="D220" s="254">
        <v>500</v>
      </c>
    </row>
    <row r="221" spans="1:4" ht="23.25">
      <c r="A221" s="253" t="s">
        <v>336</v>
      </c>
      <c r="B221" s="238" t="s">
        <v>282</v>
      </c>
      <c r="C221" s="254">
        <v>1000</v>
      </c>
      <c r="D221" s="254">
        <f>19.4+77.6+659.6</f>
        <v>756.6</v>
      </c>
    </row>
    <row r="222" spans="1:4" ht="23.25">
      <c r="A222" s="253"/>
      <c r="B222" s="238"/>
      <c r="C222" s="254"/>
      <c r="D222" s="254"/>
    </row>
    <row r="223" spans="1:4" ht="23.25">
      <c r="A223" s="237" t="s">
        <v>46</v>
      </c>
      <c r="B223" s="238"/>
      <c r="C223" s="239">
        <f>SUM(C216:C221)</f>
        <v>26000</v>
      </c>
      <c r="D223" s="239">
        <f>SUM(D216:D221)</f>
        <v>12250.6</v>
      </c>
    </row>
    <row r="224" spans="1:4" ht="23.25">
      <c r="A224" s="232" t="s">
        <v>288</v>
      </c>
      <c r="B224" s="233" t="s">
        <v>289</v>
      </c>
      <c r="C224" s="234"/>
      <c r="D224" s="234"/>
    </row>
    <row r="225" spans="1:4" ht="23.25">
      <c r="A225" s="253" t="s">
        <v>290</v>
      </c>
      <c r="B225" s="238" t="s">
        <v>291</v>
      </c>
      <c r="C225" s="254">
        <v>70000</v>
      </c>
      <c r="D225" s="325">
        <v>0</v>
      </c>
    </row>
    <row r="226" spans="1:4" ht="23.25">
      <c r="A226" s="237" t="s">
        <v>46</v>
      </c>
      <c r="B226" s="238"/>
      <c r="C226" s="239">
        <f>SUM(C225:C225)</f>
        <v>70000</v>
      </c>
      <c r="D226" s="239">
        <f>SUM(D225:D225)</f>
        <v>0</v>
      </c>
    </row>
    <row r="227" spans="1:4" ht="23.25">
      <c r="A227" s="232" t="s">
        <v>292</v>
      </c>
      <c r="B227" s="233" t="s">
        <v>293</v>
      </c>
      <c r="C227" s="234">
        <f>SUM(C228:C228)</f>
        <v>0</v>
      </c>
      <c r="D227" s="234">
        <f>SUM(D228:D228)</f>
        <v>0</v>
      </c>
    </row>
    <row r="228" spans="1:4" ht="23.25">
      <c r="A228" s="253"/>
      <c r="B228" s="238"/>
      <c r="C228" s="254"/>
      <c r="D228" s="254"/>
    </row>
    <row r="229" spans="1:4" ht="23.25">
      <c r="A229" s="237" t="s">
        <v>46</v>
      </c>
      <c r="B229" s="238"/>
      <c r="C229" s="239">
        <f>SUM(C228:C228)</f>
        <v>0</v>
      </c>
      <c r="D229" s="239">
        <f>SUM(D228:D228)</f>
        <v>0</v>
      </c>
    </row>
    <row r="230" spans="1:4" ht="23.25">
      <c r="A230" s="232" t="s">
        <v>294</v>
      </c>
      <c r="B230" s="233" t="s">
        <v>295</v>
      </c>
      <c r="C230" s="234"/>
      <c r="D230" s="234"/>
    </row>
    <row r="231" spans="1:4" ht="23.25">
      <c r="A231" s="253" t="s">
        <v>296</v>
      </c>
      <c r="B231" s="238" t="s">
        <v>297</v>
      </c>
      <c r="C231" s="254">
        <v>40000</v>
      </c>
      <c r="D231" s="254">
        <v>5200</v>
      </c>
    </row>
    <row r="232" spans="1:4" ht="23.25">
      <c r="A232" s="253" t="s">
        <v>298</v>
      </c>
      <c r="B232" s="238" t="s">
        <v>299</v>
      </c>
      <c r="C232" s="254">
        <v>1000</v>
      </c>
      <c r="D232" s="254">
        <v>8169.4</v>
      </c>
    </row>
    <row r="233" spans="1:4" ht="23.25">
      <c r="A233" s="240" t="s">
        <v>46</v>
      </c>
      <c r="B233" s="240"/>
      <c r="C233" s="239">
        <f>SUM(C231:C232)</f>
        <v>41000</v>
      </c>
      <c r="D233" s="239">
        <f>SUM(D231:D232)</f>
        <v>13369.4</v>
      </c>
    </row>
    <row r="234" spans="1:4" ht="23.25">
      <c r="A234" s="280"/>
      <c r="B234" s="280"/>
      <c r="C234" s="281"/>
      <c r="D234" s="281"/>
    </row>
    <row r="235" spans="1:4" ht="23.25">
      <c r="A235" s="146"/>
      <c r="B235" s="146"/>
      <c r="C235" s="326"/>
      <c r="D235" s="326"/>
    </row>
    <row r="236" spans="1:4" ht="23.25">
      <c r="A236" s="210" t="s">
        <v>332</v>
      </c>
      <c r="B236" s="145"/>
      <c r="D236" s="145"/>
    </row>
    <row r="237" spans="1:4" ht="23.25">
      <c r="A237" s="210" t="s">
        <v>373</v>
      </c>
      <c r="B237" s="145"/>
      <c r="D237" s="145"/>
    </row>
    <row r="238" spans="1:4" ht="23.25">
      <c r="A238" s="210" t="s">
        <v>331</v>
      </c>
      <c r="B238" s="145"/>
      <c r="D238" s="145"/>
    </row>
    <row r="239" spans="1:4" ht="23.25">
      <c r="A239" s="210"/>
      <c r="B239" s="145"/>
      <c r="D239" s="145"/>
    </row>
    <row r="240" spans="1:2" ht="23.25">
      <c r="A240" s="210"/>
      <c r="B240" s="145">
        <v>-2</v>
      </c>
    </row>
    <row r="241" spans="1:4" ht="23.25">
      <c r="A241" s="255"/>
      <c r="B241" s="255" t="s">
        <v>30</v>
      </c>
      <c r="C241" s="322" t="s">
        <v>39</v>
      </c>
      <c r="D241" s="322" t="s">
        <v>270</v>
      </c>
    </row>
    <row r="242" spans="1:4" ht="23.25">
      <c r="A242" s="241" t="s">
        <v>300</v>
      </c>
      <c r="B242" s="242" t="s">
        <v>301</v>
      </c>
      <c r="C242" s="142"/>
      <c r="D242" s="143"/>
    </row>
    <row r="243" spans="1:4" ht="23.25">
      <c r="A243" s="232" t="s">
        <v>302</v>
      </c>
      <c r="B243" s="233" t="s">
        <v>303</v>
      </c>
      <c r="C243" s="234"/>
      <c r="D243" s="234"/>
    </row>
    <row r="244" spans="1:4" ht="23.25">
      <c r="A244" s="253" t="s">
        <v>304</v>
      </c>
      <c r="B244" s="238" t="s">
        <v>305</v>
      </c>
      <c r="C244" s="254">
        <v>160000</v>
      </c>
      <c r="D244" s="254">
        <v>0</v>
      </c>
    </row>
    <row r="245" spans="1:4" ht="23.25">
      <c r="A245" s="253" t="s">
        <v>306</v>
      </c>
      <c r="B245" s="238" t="s">
        <v>307</v>
      </c>
      <c r="C245" s="254">
        <v>9140000</v>
      </c>
      <c r="D245" s="254">
        <f>1479825.59+732974.31+746545.91</f>
        <v>2959345.8100000005</v>
      </c>
    </row>
    <row r="246" spans="1:4" ht="23.25">
      <c r="A246" s="253" t="s">
        <v>308</v>
      </c>
      <c r="B246" s="238" t="s">
        <v>309</v>
      </c>
      <c r="C246" s="254">
        <v>1500000</v>
      </c>
      <c r="D246" s="254">
        <f>223111.55+111564.98+143657.5+182278.21</f>
        <v>660612.24</v>
      </c>
    </row>
    <row r="247" spans="1:4" ht="23.25">
      <c r="A247" s="253" t="s">
        <v>310</v>
      </c>
      <c r="B247" s="238" t="s">
        <v>311</v>
      </c>
      <c r="C247" s="254">
        <v>80000</v>
      </c>
      <c r="D247" s="254">
        <f>8361.66+7503.48+5991.83+8395.03</f>
        <v>30252</v>
      </c>
    </row>
    <row r="248" spans="1:4" ht="23.25">
      <c r="A248" s="253" t="s">
        <v>312</v>
      </c>
      <c r="B248" s="238" t="s">
        <v>313</v>
      </c>
      <c r="C248" s="254">
        <v>700000</v>
      </c>
      <c r="D248" s="254">
        <f>104186.51+54104.3+77347.6+50934.64</f>
        <v>286573.05</v>
      </c>
    </row>
    <row r="249" spans="1:4" ht="23.25">
      <c r="A249" s="253" t="s">
        <v>314</v>
      </c>
      <c r="B249" s="238" t="s">
        <v>315</v>
      </c>
      <c r="C249" s="254">
        <v>1200000</v>
      </c>
      <c r="D249" s="254">
        <f>275482.82+126002.78+160661.4+126503.92</f>
        <v>688650.92</v>
      </c>
    </row>
    <row r="250" spans="1:4" ht="23.25">
      <c r="A250" s="253" t="s">
        <v>316</v>
      </c>
      <c r="B250" s="238" t="s">
        <v>317</v>
      </c>
      <c r="C250" s="254">
        <v>30000</v>
      </c>
      <c r="D250" s="325">
        <v>11022.62</v>
      </c>
    </row>
    <row r="251" spans="1:4" ht="23.25">
      <c r="A251" s="253" t="s">
        <v>318</v>
      </c>
      <c r="B251" s="238" t="s">
        <v>319</v>
      </c>
      <c r="C251" s="254">
        <v>40000</v>
      </c>
      <c r="D251" s="254">
        <f>5473.67+5110.41</f>
        <v>10584.08</v>
      </c>
    </row>
    <row r="252" spans="1:4" ht="23.25">
      <c r="A252" s="253" t="s">
        <v>320</v>
      </c>
      <c r="B252" s="238" t="s">
        <v>321</v>
      </c>
      <c r="C252" s="254">
        <v>300000</v>
      </c>
      <c r="D252" s="254">
        <f>22520+32955+53903+31861</f>
        <v>141239</v>
      </c>
    </row>
    <row r="253" spans="1:4" ht="23.25">
      <c r="A253" s="253" t="s">
        <v>342</v>
      </c>
      <c r="B253" s="238" t="s">
        <v>343</v>
      </c>
      <c r="C253" s="254">
        <v>500</v>
      </c>
      <c r="D253" s="254"/>
    </row>
    <row r="254" spans="1:5" ht="23.25">
      <c r="A254" s="253"/>
      <c r="B254" s="238"/>
      <c r="C254" s="254"/>
      <c r="D254" s="327"/>
      <c r="E254" s="321"/>
    </row>
    <row r="255" spans="1:4" ht="23.25">
      <c r="A255" s="237" t="s">
        <v>46</v>
      </c>
      <c r="B255" s="238"/>
      <c r="C255" s="239">
        <f>SUM(C244:C254)</f>
        <v>13150500</v>
      </c>
      <c r="D255" s="239">
        <f>SUM(D244:D254)</f>
        <v>4788279.720000001</v>
      </c>
    </row>
    <row r="256" spans="1:4" ht="23.25">
      <c r="A256" s="241" t="s">
        <v>322</v>
      </c>
      <c r="B256" s="242" t="s">
        <v>323</v>
      </c>
      <c r="C256" s="205"/>
      <c r="D256" s="205"/>
    </row>
    <row r="257" spans="1:4" ht="23.25">
      <c r="A257" s="243" t="s">
        <v>324</v>
      </c>
      <c r="B257" s="242" t="s">
        <v>325</v>
      </c>
      <c r="C257" s="205">
        <f>SUM(C258:C259)</f>
        <v>14304500</v>
      </c>
      <c r="D257" s="205">
        <f>SUM(D258:D260)</f>
        <v>6423887</v>
      </c>
    </row>
    <row r="258" spans="1:4" ht="23.25">
      <c r="A258" s="253" t="s">
        <v>326</v>
      </c>
      <c r="B258" s="238" t="s">
        <v>327</v>
      </c>
      <c r="C258" s="254">
        <v>14304500</v>
      </c>
      <c r="D258" s="325">
        <v>2663261</v>
      </c>
    </row>
    <row r="259" spans="1:4" ht="23.25">
      <c r="A259" s="13" t="s">
        <v>328</v>
      </c>
      <c r="B259" s="328"/>
      <c r="C259" s="142"/>
      <c r="D259" s="142"/>
    </row>
    <row r="260" spans="1:4" ht="23.25">
      <c r="A260" s="13" t="s">
        <v>404</v>
      </c>
      <c r="B260" s="328"/>
      <c r="C260" s="142"/>
      <c r="D260" s="142">
        <f>2131600+350400+12000+213900+100300+56528+147500+242398+506000</f>
        <v>3760626</v>
      </c>
    </row>
    <row r="261" spans="1:4" ht="23.25">
      <c r="A261" s="237" t="s">
        <v>46</v>
      </c>
      <c r="B261" s="238"/>
      <c r="C261" s="239">
        <f>SUM(C258:C259)</f>
        <v>14304500</v>
      </c>
      <c r="D261" s="239">
        <f>SUM(D258:D260)</f>
        <v>6423887</v>
      </c>
    </row>
    <row r="262" spans="1:4" ht="23.25">
      <c r="A262" s="373" t="s">
        <v>329</v>
      </c>
      <c r="B262" s="374"/>
      <c r="C262" s="239">
        <f>SUM(C214+C223+C226+C229+C233+C255+C261)</f>
        <v>27650000</v>
      </c>
      <c r="D262" s="239">
        <f>SUM(D214+D223+D226+D229+D233+D255+D257)</f>
        <v>11292093.23</v>
      </c>
    </row>
    <row r="263" spans="2:8" ht="23.25">
      <c r="B263" s="145"/>
      <c r="C263" s="188"/>
      <c r="D263" s="188"/>
      <c r="H263" s="187"/>
    </row>
    <row r="264" spans="2:4" ht="23.25">
      <c r="B264" s="145"/>
      <c r="C264" s="188"/>
      <c r="D264" s="188"/>
    </row>
    <row r="265" spans="1:4" ht="23.25">
      <c r="A265" s="210" t="s">
        <v>332</v>
      </c>
      <c r="B265" s="145"/>
      <c r="D265" s="145"/>
    </row>
    <row r="266" spans="1:4" ht="23.25">
      <c r="A266" s="210" t="s">
        <v>373</v>
      </c>
      <c r="B266" s="145"/>
      <c r="D266" s="145"/>
    </row>
    <row r="267" spans="1:4" ht="23.25">
      <c r="A267" s="210" t="s">
        <v>331</v>
      </c>
      <c r="B267" s="145"/>
      <c r="D267" s="145"/>
    </row>
    <row r="268" spans="2:4" ht="23.25">
      <c r="B268" s="145"/>
      <c r="C268" s="188"/>
      <c r="D268" s="188"/>
    </row>
    <row r="272" spans="2:4" ht="23.25">
      <c r="B272" s="145"/>
      <c r="D272" s="145"/>
    </row>
    <row r="273" spans="2:4" ht="23.25">
      <c r="B273" s="145"/>
      <c r="D273" s="145"/>
    </row>
    <row r="274" spans="1:4" ht="23.25">
      <c r="A274" s="343" t="s">
        <v>330</v>
      </c>
      <c r="B274" s="343"/>
      <c r="C274" s="343"/>
      <c r="D274" s="343"/>
    </row>
    <row r="275" spans="1:4" ht="23.25">
      <c r="A275" s="343" t="s">
        <v>268</v>
      </c>
      <c r="B275" s="343"/>
      <c r="C275" s="343"/>
      <c r="D275" s="343"/>
    </row>
    <row r="276" spans="1:4" ht="23.25">
      <c r="A276" s="372" t="s">
        <v>418</v>
      </c>
      <c r="B276" s="372"/>
      <c r="C276" s="372"/>
      <c r="D276" s="372"/>
    </row>
    <row r="277" spans="1:4" ht="23.25">
      <c r="A277" s="255"/>
      <c r="B277" s="255" t="s">
        <v>269</v>
      </c>
      <c r="C277" s="322" t="s">
        <v>39</v>
      </c>
      <c r="D277" s="322" t="s">
        <v>270</v>
      </c>
    </row>
    <row r="278" spans="1:4" ht="23.25">
      <c r="A278" s="229" t="s">
        <v>271</v>
      </c>
      <c r="B278" s="230">
        <v>41000000</v>
      </c>
      <c r="C278" s="231"/>
      <c r="D278" s="231"/>
    </row>
    <row r="279" spans="1:4" ht="23.25">
      <c r="A279" s="232" t="s">
        <v>272</v>
      </c>
      <c r="B279" s="233" t="s">
        <v>273</v>
      </c>
      <c r="C279" s="234"/>
      <c r="D279" s="235"/>
    </row>
    <row r="280" spans="1:4" ht="23.25">
      <c r="A280" s="253" t="s">
        <v>274</v>
      </c>
      <c r="B280" s="238" t="s">
        <v>275</v>
      </c>
      <c r="C280" s="254">
        <v>17000</v>
      </c>
      <c r="D280" s="254">
        <f>1275.5+21070.25+705</f>
        <v>23050.75</v>
      </c>
    </row>
    <row r="281" spans="1:4" ht="23.25">
      <c r="A281" s="253" t="s">
        <v>276</v>
      </c>
      <c r="B281" s="238" t="s">
        <v>277</v>
      </c>
      <c r="C281" s="254">
        <v>40000</v>
      </c>
      <c r="D281" s="323">
        <f>10018.32+19942.44+5581.5</f>
        <v>35542.259999999995</v>
      </c>
    </row>
    <row r="282" spans="1:4" ht="23.25">
      <c r="A282" s="253" t="s">
        <v>278</v>
      </c>
      <c r="B282" s="238" t="s">
        <v>279</v>
      </c>
      <c r="C282" s="254">
        <v>1000</v>
      </c>
      <c r="D282" s="323">
        <v>2000</v>
      </c>
    </row>
    <row r="283" spans="1:4" ht="23.25">
      <c r="A283" s="237" t="s">
        <v>46</v>
      </c>
      <c r="B283" s="238"/>
      <c r="C283" s="239">
        <f>SUM(C280:C282)</f>
        <v>58000</v>
      </c>
      <c r="D283" s="239">
        <f>SUM(D280:D282)</f>
        <v>60593.009999999995</v>
      </c>
    </row>
    <row r="284" spans="1:4" ht="23.25">
      <c r="A284" s="232" t="s">
        <v>280</v>
      </c>
      <c r="B284" s="233" t="s">
        <v>281</v>
      </c>
      <c r="C284" s="234"/>
      <c r="D284" s="234"/>
    </row>
    <row r="285" spans="1:4" ht="23.25">
      <c r="A285" s="253" t="s">
        <v>333</v>
      </c>
      <c r="B285" s="238" t="s">
        <v>338</v>
      </c>
      <c r="C285" s="254">
        <v>3000</v>
      </c>
      <c r="D285" s="254">
        <f>1382+1975+20+567</f>
        <v>3944</v>
      </c>
    </row>
    <row r="286" spans="1:4" ht="23.25">
      <c r="A286" s="253" t="s">
        <v>334</v>
      </c>
      <c r="B286" s="238" t="s">
        <v>283</v>
      </c>
      <c r="C286" s="254">
        <v>500</v>
      </c>
      <c r="D286" s="254">
        <f>50+100+50</f>
        <v>200</v>
      </c>
    </row>
    <row r="287" spans="1:4" ht="23.25">
      <c r="A287" s="253" t="s">
        <v>335</v>
      </c>
      <c r="B287" s="238" t="s">
        <v>339</v>
      </c>
      <c r="C287" s="254">
        <v>500</v>
      </c>
      <c r="D287" s="254">
        <v>0</v>
      </c>
    </row>
    <row r="288" spans="1:4" ht="23.25">
      <c r="A288" s="253" t="s">
        <v>284</v>
      </c>
      <c r="B288" s="324" t="s">
        <v>285</v>
      </c>
      <c r="C288" s="254">
        <v>1000</v>
      </c>
      <c r="D288" s="254">
        <f>1000+5900</f>
        <v>6900</v>
      </c>
    </row>
    <row r="289" spans="1:4" ht="23.25">
      <c r="A289" s="253" t="s">
        <v>286</v>
      </c>
      <c r="B289" s="238" t="s">
        <v>287</v>
      </c>
      <c r="C289" s="254">
        <v>20000</v>
      </c>
      <c r="D289" s="254">
        <v>500</v>
      </c>
    </row>
    <row r="290" spans="1:5" ht="23.25">
      <c r="A290" s="253" t="s">
        <v>336</v>
      </c>
      <c r="B290" s="238" t="s">
        <v>282</v>
      </c>
      <c r="C290" s="254">
        <v>1000</v>
      </c>
      <c r="D290" s="254">
        <f>19.4+77.6+659.6</f>
        <v>756.6</v>
      </c>
      <c r="E290" s="321"/>
    </row>
    <row r="291" spans="1:4" ht="23.25">
      <c r="A291" s="253"/>
      <c r="B291" s="238"/>
      <c r="C291" s="254"/>
      <c r="D291" s="254"/>
    </row>
    <row r="292" spans="1:4" ht="23.25">
      <c r="A292" s="237" t="s">
        <v>46</v>
      </c>
      <c r="B292" s="238"/>
      <c r="C292" s="239">
        <f>SUM(C285:C290)</f>
        <v>26000</v>
      </c>
      <c r="D292" s="239">
        <f>SUM(D285:D290)</f>
        <v>12300.6</v>
      </c>
    </row>
    <row r="293" spans="1:4" ht="23.25">
      <c r="A293" s="232" t="s">
        <v>288</v>
      </c>
      <c r="B293" s="233" t="s">
        <v>289</v>
      </c>
      <c r="C293" s="234"/>
      <c r="D293" s="234"/>
    </row>
    <row r="294" spans="1:4" ht="23.25">
      <c r="A294" s="253" t="s">
        <v>290</v>
      </c>
      <c r="B294" s="238" t="s">
        <v>291</v>
      </c>
      <c r="C294" s="254">
        <v>70000</v>
      </c>
      <c r="D294" s="325">
        <v>0</v>
      </c>
    </row>
    <row r="295" spans="1:4" ht="23.25">
      <c r="A295" s="237" t="s">
        <v>46</v>
      </c>
      <c r="B295" s="238"/>
      <c r="C295" s="239">
        <f>SUM(C294:C294)</f>
        <v>70000</v>
      </c>
      <c r="D295" s="239">
        <f>SUM(D294:D294)</f>
        <v>0</v>
      </c>
    </row>
    <row r="296" spans="1:4" ht="23.25">
      <c r="A296" s="232" t="s">
        <v>292</v>
      </c>
      <c r="B296" s="233" t="s">
        <v>293</v>
      </c>
      <c r="C296" s="234">
        <v>0</v>
      </c>
      <c r="D296" s="234"/>
    </row>
    <row r="297" spans="1:4" ht="23.25">
      <c r="A297" s="237" t="s">
        <v>46</v>
      </c>
      <c r="B297" s="238"/>
      <c r="C297" s="239">
        <f>C296</f>
        <v>0</v>
      </c>
      <c r="D297" s="239">
        <v>0</v>
      </c>
    </row>
    <row r="298" spans="1:4" ht="23.25">
      <c r="A298" s="232" t="s">
        <v>294</v>
      </c>
      <c r="B298" s="233" t="s">
        <v>295</v>
      </c>
      <c r="C298" s="234"/>
      <c r="D298" s="234"/>
    </row>
    <row r="299" spans="1:4" ht="23.25">
      <c r="A299" s="253" t="s">
        <v>296</v>
      </c>
      <c r="B299" s="238" t="s">
        <v>297</v>
      </c>
      <c r="C299" s="254">
        <v>40000</v>
      </c>
      <c r="D299" s="254">
        <v>5200</v>
      </c>
    </row>
    <row r="300" spans="1:4" ht="23.25">
      <c r="A300" s="253" t="s">
        <v>298</v>
      </c>
      <c r="B300" s="238" t="s">
        <v>299</v>
      </c>
      <c r="C300" s="254">
        <v>1000</v>
      </c>
      <c r="D300" s="254">
        <f>8169.4+100</f>
        <v>8269.4</v>
      </c>
    </row>
    <row r="301" spans="1:4" ht="23.25">
      <c r="A301" s="240" t="s">
        <v>46</v>
      </c>
      <c r="B301" s="240"/>
      <c r="C301" s="239">
        <f>SUM(C299:C300)</f>
        <v>41000</v>
      </c>
      <c r="D301" s="239">
        <f>SUM(D299:D300)</f>
        <v>13469.4</v>
      </c>
    </row>
    <row r="302" spans="1:4" ht="23.25">
      <c r="A302" s="280"/>
      <c r="B302" s="280"/>
      <c r="C302" s="281"/>
      <c r="D302" s="281"/>
    </row>
    <row r="303" spans="1:4" ht="23.25">
      <c r="A303" s="146"/>
      <c r="B303" s="146"/>
      <c r="C303" s="326"/>
      <c r="D303" s="326"/>
    </row>
    <row r="304" spans="1:4" ht="23.25">
      <c r="A304" s="210" t="s">
        <v>332</v>
      </c>
      <c r="B304" s="145"/>
      <c r="D304" s="145"/>
    </row>
    <row r="305" spans="1:4" ht="23.25">
      <c r="A305" s="210" t="s">
        <v>373</v>
      </c>
      <c r="B305" s="145"/>
      <c r="D305" s="145"/>
    </row>
    <row r="306" spans="1:4" ht="23.25">
      <c r="A306" s="210" t="s">
        <v>331</v>
      </c>
      <c r="B306" s="145"/>
      <c r="D306" s="145"/>
    </row>
    <row r="307" spans="1:2" ht="23.25">
      <c r="A307" s="210"/>
      <c r="B307" s="145">
        <v>-2</v>
      </c>
    </row>
    <row r="308" spans="1:4" ht="23.25">
      <c r="A308" s="255"/>
      <c r="B308" s="255" t="s">
        <v>30</v>
      </c>
      <c r="C308" s="322" t="s">
        <v>39</v>
      </c>
      <c r="D308" s="322" t="s">
        <v>270</v>
      </c>
    </row>
    <row r="309" spans="1:4" ht="23.25">
      <c r="A309" s="241" t="s">
        <v>300</v>
      </c>
      <c r="B309" s="242" t="s">
        <v>301</v>
      </c>
      <c r="C309" s="142"/>
      <c r="D309" s="143"/>
    </row>
    <row r="310" spans="1:4" ht="23.25">
      <c r="A310" s="232" t="s">
        <v>302</v>
      </c>
      <c r="B310" s="233" t="s">
        <v>303</v>
      </c>
      <c r="C310" s="234"/>
      <c r="D310" s="234"/>
    </row>
    <row r="311" spans="1:4" ht="23.25">
      <c r="A311" s="253" t="s">
        <v>304</v>
      </c>
      <c r="B311" s="238" t="s">
        <v>305</v>
      </c>
      <c r="C311" s="254">
        <v>160000</v>
      </c>
      <c r="D311" s="254">
        <v>96742.29</v>
      </c>
    </row>
    <row r="312" spans="1:4" ht="23.25">
      <c r="A312" s="253" t="s">
        <v>306</v>
      </c>
      <c r="B312" s="238" t="s">
        <v>307</v>
      </c>
      <c r="C312" s="254">
        <v>9140000</v>
      </c>
      <c r="D312" s="254">
        <f>1479825.59+732974.31+746545.91+1461389.9</f>
        <v>4420735.710000001</v>
      </c>
    </row>
    <row r="313" spans="1:4" ht="23.25">
      <c r="A313" s="253" t="s">
        <v>308</v>
      </c>
      <c r="B313" s="238" t="s">
        <v>309</v>
      </c>
      <c r="C313" s="254">
        <v>1500000</v>
      </c>
      <c r="D313" s="254">
        <f>223111.55+111564.98+143657.5+182278.21+75697.93</f>
        <v>736310.1699999999</v>
      </c>
    </row>
    <row r="314" spans="1:4" ht="23.25">
      <c r="A314" s="253" t="s">
        <v>310</v>
      </c>
      <c r="B314" s="238" t="s">
        <v>311</v>
      </c>
      <c r="C314" s="254">
        <v>80000</v>
      </c>
      <c r="D314" s="254">
        <f>8361.66+7503.48+5991.83+8395.03+4826.93</f>
        <v>35078.93</v>
      </c>
    </row>
    <row r="315" spans="1:4" ht="23.25">
      <c r="A315" s="253" t="s">
        <v>312</v>
      </c>
      <c r="B315" s="238" t="s">
        <v>313</v>
      </c>
      <c r="C315" s="254">
        <v>700000</v>
      </c>
      <c r="D315" s="254">
        <f>104186.51+54104.3+77347.6+50934.64+63302.53</f>
        <v>349875.57999999996</v>
      </c>
    </row>
    <row r="316" spans="1:4" ht="23.25">
      <c r="A316" s="253" t="s">
        <v>314</v>
      </c>
      <c r="B316" s="238" t="s">
        <v>315</v>
      </c>
      <c r="C316" s="254">
        <v>1200000</v>
      </c>
      <c r="D316" s="254">
        <f>275482.82+126002.78+160661.4+126503.92+149061.58</f>
        <v>837712.5</v>
      </c>
    </row>
    <row r="317" spans="1:4" ht="23.25">
      <c r="A317" s="253" t="s">
        <v>316</v>
      </c>
      <c r="B317" s="238" t="s">
        <v>317</v>
      </c>
      <c r="C317" s="254">
        <v>30000</v>
      </c>
      <c r="D317" s="325">
        <v>11022.62</v>
      </c>
    </row>
    <row r="318" spans="1:4" ht="23.25">
      <c r="A318" s="253" t="s">
        <v>318</v>
      </c>
      <c r="B318" s="238" t="s">
        <v>319</v>
      </c>
      <c r="C318" s="254">
        <v>40000</v>
      </c>
      <c r="D318" s="254">
        <f>5473.67+5110.41</f>
        <v>10584.08</v>
      </c>
    </row>
    <row r="319" spans="1:4" ht="23.25">
      <c r="A319" s="253" t="s">
        <v>320</v>
      </c>
      <c r="B319" s="238" t="s">
        <v>321</v>
      </c>
      <c r="C319" s="254">
        <v>300000</v>
      </c>
      <c r="D319" s="254">
        <f>22520+32955+53903+31861+23544</f>
        <v>164783</v>
      </c>
    </row>
    <row r="320" spans="1:4" ht="23.25">
      <c r="A320" s="253" t="s">
        <v>342</v>
      </c>
      <c r="B320" s="238" t="s">
        <v>343</v>
      </c>
      <c r="C320" s="254">
        <v>500</v>
      </c>
      <c r="D320" s="254"/>
    </row>
    <row r="321" spans="1:4" ht="23.25">
      <c r="A321" s="253"/>
      <c r="B321" s="238"/>
      <c r="C321" s="254"/>
      <c r="D321" s="327"/>
    </row>
    <row r="322" spans="1:4" ht="23.25">
      <c r="A322" s="237" t="s">
        <v>46</v>
      </c>
      <c r="B322" s="238"/>
      <c r="C322" s="239">
        <f>SUM(C311:C321)</f>
        <v>13150500</v>
      </c>
      <c r="D322" s="239">
        <f>SUM(D311:D321)</f>
        <v>6662844.880000001</v>
      </c>
    </row>
    <row r="323" spans="1:5" ht="23.25">
      <c r="A323" s="241" t="s">
        <v>322</v>
      </c>
      <c r="B323" s="242" t="s">
        <v>323</v>
      </c>
      <c r="C323" s="205"/>
      <c r="D323" s="205"/>
      <c r="E323" s="321"/>
    </row>
    <row r="324" spans="1:4" ht="23.25">
      <c r="A324" s="243" t="s">
        <v>324</v>
      </c>
      <c r="B324" s="242" t="s">
        <v>325</v>
      </c>
      <c r="C324" s="205">
        <f>SUM(C325:C326)</f>
        <v>14304500</v>
      </c>
      <c r="D324" s="205">
        <f>SUM(D325:D327)</f>
        <v>6423887</v>
      </c>
    </row>
    <row r="325" spans="1:4" ht="23.25">
      <c r="A325" s="253" t="s">
        <v>326</v>
      </c>
      <c r="B325" s="238" t="s">
        <v>327</v>
      </c>
      <c r="C325" s="254">
        <v>14304500</v>
      </c>
      <c r="D325" s="325">
        <v>2663261</v>
      </c>
    </row>
    <row r="326" spans="1:4" ht="23.25">
      <c r="A326" s="13" t="s">
        <v>328</v>
      </c>
      <c r="B326" s="328"/>
      <c r="C326" s="142"/>
      <c r="D326" s="142"/>
    </row>
    <row r="327" spans="1:4" ht="23.25">
      <c r="A327" s="13" t="s">
        <v>404</v>
      </c>
      <c r="B327" s="328"/>
      <c r="C327" s="142"/>
      <c r="D327" s="142">
        <f>2131600+350400+12000+213900+100300+56528+147500+242398+506000</f>
        <v>3760626</v>
      </c>
    </row>
    <row r="328" spans="1:4" ht="23.25">
      <c r="A328" s="237" t="s">
        <v>46</v>
      </c>
      <c r="B328" s="238"/>
      <c r="C328" s="239">
        <f>SUM(C325:C326)</f>
        <v>14304500</v>
      </c>
      <c r="D328" s="239">
        <f>SUM(D325:D327)</f>
        <v>6423887</v>
      </c>
    </row>
    <row r="329" spans="1:4" ht="23.25">
      <c r="A329" s="373" t="s">
        <v>329</v>
      </c>
      <c r="B329" s="374"/>
      <c r="C329" s="239">
        <f>SUM(C283+C292+C295+C297+C301+C322+C328)</f>
        <v>27650000</v>
      </c>
      <c r="D329" s="239">
        <f>SUM(D283+D292+D295+D297+D301+D322+D324)</f>
        <v>13173094.89</v>
      </c>
    </row>
    <row r="330" spans="2:4" ht="23.25">
      <c r="B330" s="145"/>
      <c r="C330" s="188"/>
      <c r="D330" s="188"/>
    </row>
    <row r="331" spans="2:4" ht="23.25">
      <c r="B331" s="145"/>
      <c r="C331" s="188"/>
      <c r="D331" s="188"/>
    </row>
    <row r="332" spans="1:4" ht="23.25">
      <c r="A332" s="210" t="s">
        <v>332</v>
      </c>
      <c r="B332" s="145"/>
      <c r="D332" s="145"/>
    </row>
    <row r="333" spans="1:4" ht="23.25">
      <c r="A333" s="210" t="s">
        <v>373</v>
      </c>
      <c r="B333" s="145"/>
      <c r="D333" s="145"/>
    </row>
    <row r="334" spans="1:4" ht="23.25">
      <c r="A334" s="210" t="s">
        <v>331</v>
      </c>
      <c r="B334" s="145"/>
      <c r="D334" s="145"/>
    </row>
    <row r="335" spans="1:4" ht="23.25">
      <c r="A335" s="210"/>
      <c r="B335" s="145"/>
      <c r="D335" s="145"/>
    </row>
    <row r="336" spans="1:4" ht="23.25">
      <c r="A336" s="210"/>
      <c r="B336" s="145"/>
      <c r="D336" s="145"/>
    </row>
    <row r="337" spans="1:4" ht="23.25">
      <c r="A337" s="210"/>
      <c r="B337" s="145"/>
      <c r="D337" s="145"/>
    </row>
    <row r="338" spans="1:4" ht="23.25">
      <c r="A338" s="210"/>
      <c r="B338" s="145"/>
      <c r="D338" s="145"/>
    </row>
    <row r="339" spans="1:4" ht="23.25">
      <c r="A339" s="210"/>
      <c r="B339" s="145"/>
      <c r="D339" s="145"/>
    </row>
    <row r="340" spans="1:4" ht="23.25">
      <c r="A340" s="210"/>
      <c r="B340" s="145"/>
      <c r="D340" s="145"/>
    </row>
    <row r="341" spans="1:4" ht="23.25">
      <c r="A341" s="343" t="s">
        <v>330</v>
      </c>
      <c r="B341" s="343"/>
      <c r="C341" s="343"/>
      <c r="D341" s="343"/>
    </row>
    <row r="342" spans="1:4" ht="23.25">
      <c r="A342" s="343" t="s">
        <v>268</v>
      </c>
      <c r="B342" s="343"/>
      <c r="C342" s="343"/>
      <c r="D342" s="343"/>
    </row>
    <row r="343" spans="1:4" ht="23.25">
      <c r="A343" s="372" t="s">
        <v>432</v>
      </c>
      <c r="B343" s="372"/>
      <c r="C343" s="372"/>
      <c r="D343" s="372"/>
    </row>
    <row r="344" spans="1:4" ht="23.25">
      <c r="A344" s="255"/>
      <c r="B344" s="255" t="s">
        <v>269</v>
      </c>
      <c r="C344" s="322" t="s">
        <v>39</v>
      </c>
      <c r="D344" s="322" t="s">
        <v>270</v>
      </c>
    </row>
    <row r="345" spans="1:4" ht="23.25">
      <c r="A345" s="229" t="s">
        <v>271</v>
      </c>
      <c r="B345" s="230">
        <v>41000000</v>
      </c>
      <c r="C345" s="231"/>
      <c r="D345" s="231"/>
    </row>
    <row r="346" spans="1:4" ht="23.25">
      <c r="A346" s="232" t="s">
        <v>272</v>
      </c>
      <c r="B346" s="233" t="s">
        <v>273</v>
      </c>
      <c r="C346" s="234"/>
      <c r="D346" s="235"/>
    </row>
    <row r="347" spans="1:4" ht="23.25">
      <c r="A347" s="253" t="s">
        <v>274</v>
      </c>
      <c r="B347" s="238" t="s">
        <v>275</v>
      </c>
      <c r="C347" s="254">
        <v>17000</v>
      </c>
      <c r="D347" s="254">
        <f>1275.5+21070.25+705</f>
        <v>23050.75</v>
      </c>
    </row>
    <row r="348" spans="1:4" ht="23.25">
      <c r="A348" s="253" t="s">
        <v>276</v>
      </c>
      <c r="B348" s="238" t="s">
        <v>277</v>
      </c>
      <c r="C348" s="254">
        <v>40000</v>
      </c>
      <c r="D348" s="323">
        <f>10018.32+19942.44+5581.5+3896.84</f>
        <v>39439.09999999999</v>
      </c>
    </row>
    <row r="349" spans="1:4" ht="23.25">
      <c r="A349" s="253" t="s">
        <v>278</v>
      </c>
      <c r="B349" s="238" t="s">
        <v>279</v>
      </c>
      <c r="C349" s="254">
        <v>1000</v>
      </c>
      <c r="D349" s="323">
        <v>2000</v>
      </c>
    </row>
    <row r="350" spans="1:4" ht="23.25">
      <c r="A350" s="237" t="s">
        <v>46</v>
      </c>
      <c r="B350" s="238"/>
      <c r="C350" s="239">
        <f>SUM(C347:C349)</f>
        <v>58000</v>
      </c>
      <c r="D350" s="239">
        <f>SUM(D347:D349)</f>
        <v>64489.84999999999</v>
      </c>
    </row>
    <row r="351" spans="1:4" ht="23.25">
      <c r="A351" s="232" t="s">
        <v>280</v>
      </c>
      <c r="B351" s="233" t="s">
        <v>281</v>
      </c>
      <c r="C351" s="234"/>
      <c r="D351" s="234"/>
    </row>
    <row r="352" spans="1:4" ht="23.25">
      <c r="A352" s="253" t="s">
        <v>333</v>
      </c>
      <c r="B352" s="238" t="s">
        <v>338</v>
      </c>
      <c r="C352" s="254">
        <v>3000</v>
      </c>
      <c r="D352" s="254">
        <f>1382+1975+20+567+302</f>
        <v>4246</v>
      </c>
    </row>
    <row r="353" spans="1:4" ht="23.25">
      <c r="A353" s="253" t="s">
        <v>334</v>
      </c>
      <c r="B353" s="238" t="s">
        <v>283</v>
      </c>
      <c r="C353" s="254">
        <v>500</v>
      </c>
      <c r="D353" s="254">
        <f>50+100+50</f>
        <v>200</v>
      </c>
    </row>
    <row r="354" spans="1:4" ht="23.25">
      <c r="A354" s="253" t="s">
        <v>335</v>
      </c>
      <c r="B354" s="238" t="s">
        <v>339</v>
      </c>
      <c r="C354" s="254">
        <v>500</v>
      </c>
      <c r="D354" s="254">
        <v>0</v>
      </c>
    </row>
    <row r="355" spans="1:4" ht="23.25">
      <c r="A355" s="253" t="s">
        <v>284</v>
      </c>
      <c r="B355" s="324" t="s">
        <v>285</v>
      </c>
      <c r="C355" s="254">
        <v>1000</v>
      </c>
      <c r="D355" s="254">
        <f>1000+5900</f>
        <v>6900</v>
      </c>
    </row>
    <row r="356" spans="1:4" ht="23.25">
      <c r="A356" s="253" t="s">
        <v>286</v>
      </c>
      <c r="B356" s="238" t="s">
        <v>287</v>
      </c>
      <c r="C356" s="254">
        <v>20000</v>
      </c>
      <c r="D356" s="254">
        <v>500</v>
      </c>
    </row>
    <row r="357" spans="1:4" ht="23.25">
      <c r="A357" s="253" t="s">
        <v>336</v>
      </c>
      <c r="B357" s="238" t="s">
        <v>282</v>
      </c>
      <c r="C357" s="254">
        <v>1000</v>
      </c>
      <c r="D357" s="254">
        <f>19.4+77.6+659.6</f>
        <v>756.6</v>
      </c>
    </row>
    <row r="358" spans="1:4" ht="23.25">
      <c r="A358" s="253"/>
      <c r="B358" s="238"/>
      <c r="C358" s="254"/>
      <c r="D358" s="254"/>
    </row>
    <row r="359" spans="1:4" ht="23.25">
      <c r="A359" s="237" t="s">
        <v>46</v>
      </c>
      <c r="B359" s="238"/>
      <c r="C359" s="239">
        <f>SUM(C352:C357)</f>
        <v>26000</v>
      </c>
      <c r="D359" s="239">
        <f>SUM(D352:D357)</f>
        <v>12602.6</v>
      </c>
    </row>
    <row r="360" spans="1:4" ht="23.25">
      <c r="A360" s="232" t="s">
        <v>288</v>
      </c>
      <c r="B360" s="233" t="s">
        <v>289</v>
      </c>
      <c r="C360" s="234"/>
      <c r="D360" s="234"/>
    </row>
    <row r="361" spans="1:4" ht="23.25">
      <c r="A361" s="253" t="s">
        <v>290</v>
      </c>
      <c r="B361" s="238" t="s">
        <v>291</v>
      </c>
      <c r="C361" s="254">
        <v>70000</v>
      </c>
      <c r="D361" s="325">
        <v>23672.04</v>
      </c>
    </row>
    <row r="362" spans="1:4" ht="23.25">
      <c r="A362" s="237" t="s">
        <v>46</v>
      </c>
      <c r="B362" s="238"/>
      <c r="C362" s="239">
        <f>SUM(C361:C361)</f>
        <v>70000</v>
      </c>
      <c r="D362" s="239">
        <f>SUM(D361:D361)</f>
        <v>23672.04</v>
      </c>
    </row>
    <row r="363" spans="1:4" ht="23.25">
      <c r="A363" s="232" t="s">
        <v>292</v>
      </c>
      <c r="B363" s="233" t="s">
        <v>293</v>
      </c>
      <c r="C363" s="234">
        <v>0</v>
      </c>
      <c r="D363" s="234"/>
    </row>
    <row r="364" spans="1:4" ht="23.25">
      <c r="A364" s="237" t="s">
        <v>46</v>
      </c>
      <c r="B364" s="238"/>
      <c r="C364" s="239">
        <f>C363</f>
        <v>0</v>
      </c>
      <c r="D364" s="239">
        <v>0</v>
      </c>
    </row>
    <row r="365" spans="1:4" ht="23.25">
      <c r="A365" s="232" t="s">
        <v>294</v>
      </c>
      <c r="B365" s="233" t="s">
        <v>295</v>
      </c>
      <c r="C365" s="234"/>
      <c r="D365" s="234"/>
    </row>
    <row r="366" spans="1:4" ht="23.25">
      <c r="A366" s="253" t="s">
        <v>296</v>
      </c>
      <c r="B366" s="238" t="s">
        <v>297</v>
      </c>
      <c r="C366" s="254">
        <v>40000</v>
      </c>
      <c r="D366" s="254">
        <v>5200</v>
      </c>
    </row>
    <row r="367" spans="1:4" ht="23.25">
      <c r="A367" s="253" t="s">
        <v>298</v>
      </c>
      <c r="B367" s="238" t="s">
        <v>299</v>
      </c>
      <c r="C367" s="254">
        <v>1000</v>
      </c>
      <c r="D367" s="254">
        <f>8169.4+100</f>
        <v>8269.4</v>
      </c>
    </row>
    <row r="368" spans="1:4" ht="23.25">
      <c r="A368" s="240" t="s">
        <v>46</v>
      </c>
      <c r="B368" s="240"/>
      <c r="C368" s="239">
        <f>SUM(C366:C367)</f>
        <v>41000</v>
      </c>
      <c r="D368" s="239">
        <f>SUM(D366:D367)</f>
        <v>13469.4</v>
      </c>
    </row>
    <row r="369" spans="1:4" ht="23.25">
      <c r="A369" s="280"/>
      <c r="B369" s="280"/>
      <c r="C369" s="281"/>
      <c r="D369" s="281"/>
    </row>
    <row r="370" spans="1:4" ht="23.25">
      <c r="A370" s="146"/>
      <c r="B370" s="146"/>
      <c r="C370" s="326"/>
      <c r="D370" s="326"/>
    </row>
    <row r="371" spans="1:4" ht="23.25">
      <c r="A371" s="210" t="s">
        <v>433</v>
      </c>
      <c r="B371" s="145"/>
      <c r="D371" s="145"/>
    </row>
    <row r="372" spans="1:4" ht="23.25">
      <c r="A372" s="210" t="s">
        <v>434</v>
      </c>
      <c r="B372" s="145"/>
      <c r="D372" s="145"/>
    </row>
    <row r="373" spans="1:4" ht="23.25">
      <c r="A373" s="210" t="s">
        <v>337</v>
      </c>
      <c r="B373" s="145"/>
      <c r="D373" s="145"/>
    </row>
    <row r="374" spans="1:4" ht="23.25">
      <c r="A374" s="210"/>
      <c r="B374" s="145"/>
      <c r="D374" s="145"/>
    </row>
    <row r="375" spans="1:2" ht="23.25">
      <c r="A375" s="210"/>
      <c r="B375" s="145">
        <v>-2</v>
      </c>
    </row>
    <row r="376" spans="1:4" ht="23.25">
      <c r="A376" s="255"/>
      <c r="B376" s="255" t="s">
        <v>30</v>
      </c>
      <c r="C376" s="322" t="s">
        <v>39</v>
      </c>
      <c r="D376" s="322" t="s">
        <v>270</v>
      </c>
    </row>
    <row r="377" spans="1:4" ht="23.25">
      <c r="A377" s="241" t="s">
        <v>300</v>
      </c>
      <c r="B377" s="242" t="s">
        <v>301</v>
      </c>
      <c r="C377" s="142"/>
      <c r="D377" s="143"/>
    </row>
    <row r="378" spans="1:4" ht="23.25">
      <c r="A378" s="232" t="s">
        <v>302</v>
      </c>
      <c r="B378" s="233" t="s">
        <v>303</v>
      </c>
      <c r="C378" s="234"/>
      <c r="D378" s="234"/>
    </row>
    <row r="379" spans="1:4" ht="23.25">
      <c r="A379" s="253" t="s">
        <v>304</v>
      </c>
      <c r="B379" s="238" t="s">
        <v>305</v>
      </c>
      <c r="C379" s="254">
        <v>160000</v>
      </c>
      <c r="D379" s="254">
        <v>96742.29</v>
      </c>
    </row>
    <row r="380" spans="1:4" ht="23.25">
      <c r="A380" s="253" t="s">
        <v>306</v>
      </c>
      <c r="B380" s="238" t="s">
        <v>307</v>
      </c>
      <c r="C380" s="254">
        <v>9140000</v>
      </c>
      <c r="D380" s="254">
        <f>1479825.59+732974.31+746545.91+1461389.9</f>
        <v>4420735.710000001</v>
      </c>
    </row>
    <row r="381" spans="1:4" ht="23.25">
      <c r="A381" s="253" t="s">
        <v>308</v>
      </c>
      <c r="B381" s="238" t="s">
        <v>309</v>
      </c>
      <c r="C381" s="254">
        <v>1500000</v>
      </c>
      <c r="D381" s="254">
        <f>223111.55+111564.98+143657.5+182278.21+75697.93+176735.74</f>
        <v>913045.9099999999</v>
      </c>
    </row>
    <row r="382" spans="1:4" ht="23.25">
      <c r="A382" s="253" t="s">
        <v>310</v>
      </c>
      <c r="B382" s="238" t="s">
        <v>311</v>
      </c>
      <c r="C382" s="254">
        <v>80000</v>
      </c>
      <c r="D382" s="254">
        <f>8361.66+7503.48+5991.83+8395.03+4826.93+5215.86</f>
        <v>40294.79</v>
      </c>
    </row>
    <row r="383" spans="1:4" ht="23.25">
      <c r="A383" s="253" t="s">
        <v>312</v>
      </c>
      <c r="B383" s="238" t="s">
        <v>313</v>
      </c>
      <c r="C383" s="254">
        <v>700000</v>
      </c>
      <c r="D383" s="254">
        <f>104186.51+54104.3+77347.6+50934.64+63302.53+77415.71</f>
        <v>427291.29</v>
      </c>
    </row>
    <row r="384" spans="1:4" ht="23.25">
      <c r="A384" s="253" t="s">
        <v>314</v>
      </c>
      <c r="B384" s="238" t="s">
        <v>315</v>
      </c>
      <c r="C384" s="254">
        <v>1200000</v>
      </c>
      <c r="D384" s="254">
        <f>275482.82+126002.78+160661.4+126503.92+149061.58+175031.39</f>
        <v>1012743.89</v>
      </c>
    </row>
    <row r="385" spans="1:4" ht="23.25">
      <c r="A385" s="253" t="s">
        <v>316</v>
      </c>
      <c r="B385" s="238" t="s">
        <v>317</v>
      </c>
      <c r="C385" s="254">
        <v>30000</v>
      </c>
      <c r="D385" s="325">
        <v>11022.62</v>
      </c>
    </row>
    <row r="386" spans="1:4" ht="23.25">
      <c r="A386" s="253" t="s">
        <v>318</v>
      </c>
      <c r="B386" s="238" t="s">
        <v>319</v>
      </c>
      <c r="C386" s="254">
        <v>40000</v>
      </c>
      <c r="D386" s="254">
        <f>5473.67+5110.41</f>
        <v>10584.08</v>
      </c>
    </row>
    <row r="387" spans="1:4" ht="23.25">
      <c r="A387" s="253" t="s">
        <v>320</v>
      </c>
      <c r="B387" s="238" t="s">
        <v>321</v>
      </c>
      <c r="C387" s="254">
        <v>300000</v>
      </c>
      <c r="D387" s="254">
        <f>22520+32955+53903+31861+23544+17711</f>
        <v>182494</v>
      </c>
    </row>
    <row r="388" spans="1:4" ht="23.25">
      <c r="A388" s="253" t="s">
        <v>342</v>
      </c>
      <c r="B388" s="238" t="s">
        <v>343</v>
      </c>
      <c r="C388" s="254">
        <v>500</v>
      </c>
      <c r="D388" s="254"/>
    </row>
    <row r="389" spans="1:4" ht="23.25">
      <c r="A389" s="253"/>
      <c r="B389" s="238"/>
      <c r="C389" s="254"/>
      <c r="D389" s="327"/>
    </row>
    <row r="390" spans="1:4" ht="23.25">
      <c r="A390" s="237" t="s">
        <v>46</v>
      </c>
      <c r="B390" s="238"/>
      <c r="C390" s="239">
        <f>SUM(C379:C389)</f>
        <v>13150500</v>
      </c>
      <c r="D390" s="239">
        <f>SUM(D379:D389)</f>
        <v>7114954.580000001</v>
      </c>
    </row>
    <row r="391" spans="1:4" ht="23.25">
      <c r="A391" s="241" t="s">
        <v>322</v>
      </c>
      <c r="B391" s="242" t="s">
        <v>323</v>
      </c>
      <c r="C391" s="205"/>
      <c r="D391" s="205"/>
    </row>
    <row r="392" spans="1:4" ht="23.25">
      <c r="A392" s="243" t="s">
        <v>324</v>
      </c>
      <c r="B392" s="242" t="s">
        <v>325</v>
      </c>
      <c r="C392" s="205">
        <f>SUM(C393:C394)</f>
        <v>14304500</v>
      </c>
      <c r="D392" s="205">
        <f>SUM(D393:D395)</f>
        <v>8243000</v>
      </c>
    </row>
    <row r="393" spans="1:4" ht="23.25">
      <c r="A393" s="253" t="s">
        <v>326</v>
      </c>
      <c r="B393" s="238" t="s">
        <v>327</v>
      </c>
      <c r="C393" s="254">
        <v>14304500</v>
      </c>
      <c r="D393" s="325">
        <v>2663261</v>
      </c>
    </row>
    <row r="394" spans="1:4" ht="23.25">
      <c r="A394" s="13" t="s">
        <v>328</v>
      </c>
      <c r="B394" s="328"/>
      <c r="C394" s="142"/>
      <c r="D394" s="142"/>
    </row>
    <row r="395" spans="1:4" ht="23.25">
      <c r="A395" s="13" t="s">
        <v>404</v>
      </c>
      <c r="B395" s="328"/>
      <c r="C395" s="142"/>
      <c r="D395" s="142">
        <f>2131600+350400+12000+213900+100300+56528+147500+242398+506000+113640+243000+116409+70800+28264+6000+1065800+175200</f>
        <v>5579739</v>
      </c>
    </row>
    <row r="396" spans="1:4" ht="23.25">
      <c r="A396" s="237" t="s">
        <v>46</v>
      </c>
      <c r="B396" s="238"/>
      <c r="C396" s="239">
        <f>SUM(C393:C394)</f>
        <v>14304500</v>
      </c>
      <c r="D396" s="239">
        <f>SUM(D393:D395)</f>
        <v>8243000</v>
      </c>
    </row>
    <row r="397" spans="1:4" ht="23.25">
      <c r="A397" s="373" t="s">
        <v>329</v>
      </c>
      <c r="B397" s="374"/>
      <c r="C397" s="239">
        <f>SUM(C350+C359+C362+C364+C368+C390+C396)</f>
        <v>27650000</v>
      </c>
      <c r="D397" s="239">
        <f>SUM(D350+D359+D362+D364+D368+D390+D392)</f>
        <v>15472188.47</v>
      </c>
    </row>
    <row r="398" spans="2:4" ht="23.25">
      <c r="B398" s="145"/>
      <c r="C398" s="188"/>
      <c r="D398" s="188"/>
    </row>
    <row r="399" spans="2:4" ht="23.25">
      <c r="B399" s="145"/>
      <c r="C399" s="188"/>
      <c r="D399" s="188"/>
    </row>
    <row r="400" spans="1:4" ht="23.25">
      <c r="A400" s="210" t="s">
        <v>433</v>
      </c>
      <c r="B400" s="145"/>
      <c r="D400" s="145"/>
    </row>
    <row r="401" spans="1:4" ht="23.25">
      <c r="A401" s="210" t="s">
        <v>434</v>
      </c>
      <c r="B401" s="145"/>
      <c r="D401" s="145"/>
    </row>
    <row r="402" spans="1:4" ht="23.25">
      <c r="A402" s="210" t="s">
        <v>337</v>
      </c>
      <c r="B402" s="145"/>
      <c r="D402" s="145"/>
    </row>
    <row r="403" spans="1:4" ht="23.25">
      <c r="A403" s="210"/>
      <c r="B403" s="145"/>
      <c r="D403" s="145"/>
    </row>
    <row r="404" spans="1:4" ht="23.25">
      <c r="A404" s="210"/>
      <c r="B404" s="145"/>
      <c r="D404" s="145"/>
    </row>
    <row r="405" spans="1:4" ht="23.25">
      <c r="A405" s="210"/>
      <c r="B405" s="145"/>
      <c r="D405" s="145"/>
    </row>
    <row r="406" spans="1:4" ht="23.25">
      <c r="A406" s="210"/>
      <c r="B406" s="145"/>
      <c r="D406" s="145"/>
    </row>
    <row r="407" spans="1:4" ht="23.25">
      <c r="A407" s="210"/>
      <c r="B407" s="145"/>
      <c r="D407" s="145"/>
    </row>
    <row r="408" spans="1:4" ht="23.25">
      <c r="A408" s="210"/>
      <c r="B408" s="145"/>
      <c r="D408" s="145"/>
    </row>
    <row r="409" spans="1:4" ht="23.25">
      <c r="A409" s="343" t="s">
        <v>330</v>
      </c>
      <c r="B409" s="343"/>
      <c r="C409" s="343"/>
      <c r="D409" s="343"/>
    </row>
    <row r="410" spans="1:4" ht="23.25">
      <c r="A410" s="343" t="s">
        <v>268</v>
      </c>
      <c r="B410" s="343"/>
      <c r="C410" s="343"/>
      <c r="D410" s="343"/>
    </row>
    <row r="411" spans="1:4" ht="23.25">
      <c r="A411" s="372" t="s">
        <v>452</v>
      </c>
      <c r="B411" s="372"/>
      <c r="C411" s="372"/>
      <c r="D411" s="372"/>
    </row>
    <row r="412" spans="1:4" ht="23.25">
      <c r="A412" s="255"/>
      <c r="B412" s="255" t="s">
        <v>269</v>
      </c>
      <c r="C412" s="322" t="s">
        <v>39</v>
      </c>
      <c r="D412" s="322" t="s">
        <v>270</v>
      </c>
    </row>
    <row r="413" spans="1:4" ht="23.25">
      <c r="A413" s="229" t="s">
        <v>271</v>
      </c>
      <c r="B413" s="230">
        <v>41000000</v>
      </c>
      <c r="C413" s="231"/>
      <c r="D413" s="231"/>
    </row>
    <row r="414" spans="1:4" ht="23.25">
      <c r="A414" s="232" t="s">
        <v>272</v>
      </c>
      <c r="B414" s="233" t="s">
        <v>273</v>
      </c>
      <c r="C414" s="234"/>
      <c r="D414" s="235"/>
    </row>
    <row r="415" spans="1:4" ht="23.25">
      <c r="A415" s="253" t="s">
        <v>274</v>
      </c>
      <c r="B415" s="238" t="s">
        <v>275</v>
      </c>
      <c r="C415" s="254">
        <v>17000</v>
      </c>
      <c r="D415" s="254">
        <f>1275.5+21070.25+705+4520.25</f>
        <v>27571</v>
      </c>
    </row>
    <row r="416" spans="1:4" ht="23.25">
      <c r="A416" s="253" t="s">
        <v>276</v>
      </c>
      <c r="B416" s="238" t="s">
        <v>277</v>
      </c>
      <c r="C416" s="254">
        <v>40000</v>
      </c>
      <c r="D416" s="323">
        <f>10018.32+19942.44+5581.5+3896.84+2180.11</f>
        <v>41619.20999999999</v>
      </c>
    </row>
    <row r="417" spans="1:4" ht="23.25">
      <c r="A417" s="253" t="s">
        <v>278</v>
      </c>
      <c r="B417" s="238" t="s">
        <v>279</v>
      </c>
      <c r="C417" s="254">
        <v>1000</v>
      </c>
      <c r="D417" s="323">
        <v>2000</v>
      </c>
    </row>
    <row r="418" spans="1:4" ht="23.25">
      <c r="A418" s="237" t="s">
        <v>46</v>
      </c>
      <c r="B418" s="238"/>
      <c r="C418" s="239">
        <f>SUM(C415:C417)</f>
        <v>58000</v>
      </c>
      <c r="D418" s="239">
        <f>SUM(D415:D417)</f>
        <v>71190.20999999999</v>
      </c>
    </row>
    <row r="419" spans="1:4" ht="23.25">
      <c r="A419" s="232" t="s">
        <v>280</v>
      </c>
      <c r="B419" s="233" t="s">
        <v>281</v>
      </c>
      <c r="C419" s="234"/>
      <c r="D419" s="234"/>
    </row>
    <row r="420" spans="1:4" ht="23.25">
      <c r="A420" s="253" t="s">
        <v>333</v>
      </c>
      <c r="B420" s="238" t="s">
        <v>338</v>
      </c>
      <c r="C420" s="254">
        <v>3000</v>
      </c>
      <c r="D420" s="254">
        <f>1382+1975+20+567+302+2770</f>
        <v>7016</v>
      </c>
    </row>
    <row r="421" spans="1:4" ht="23.25">
      <c r="A421" s="253" t="s">
        <v>334</v>
      </c>
      <c r="B421" s="238" t="s">
        <v>283</v>
      </c>
      <c r="C421" s="254">
        <v>500</v>
      </c>
      <c r="D421" s="254">
        <f>50+100+50</f>
        <v>200</v>
      </c>
    </row>
    <row r="422" spans="1:4" ht="23.25">
      <c r="A422" s="253" t="s">
        <v>335</v>
      </c>
      <c r="B422" s="238" t="s">
        <v>339</v>
      </c>
      <c r="C422" s="254">
        <v>500</v>
      </c>
      <c r="D422" s="254">
        <v>0</v>
      </c>
    </row>
    <row r="423" spans="1:4" ht="23.25">
      <c r="A423" s="253" t="s">
        <v>284</v>
      </c>
      <c r="B423" s="324" t="s">
        <v>285</v>
      </c>
      <c r="C423" s="254">
        <v>1000</v>
      </c>
      <c r="D423" s="254">
        <f>1000+5900</f>
        <v>6900</v>
      </c>
    </row>
    <row r="424" spans="1:4" ht="23.25">
      <c r="A424" s="253" t="s">
        <v>286</v>
      </c>
      <c r="B424" s="238" t="s">
        <v>287</v>
      </c>
      <c r="C424" s="254">
        <v>20000</v>
      </c>
      <c r="D424" s="254">
        <v>500</v>
      </c>
    </row>
    <row r="425" spans="1:4" ht="23.25">
      <c r="A425" s="253" t="s">
        <v>336</v>
      </c>
      <c r="B425" s="238" t="s">
        <v>282</v>
      </c>
      <c r="C425" s="254">
        <v>1000</v>
      </c>
      <c r="D425" s="254">
        <f>19.4+77.6+659.6+77.6</f>
        <v>834.2</v>
      </c>
    </row>
    <row r="426" spans="1:4" ht="23.25">
      <c r="A426" s="253"/>
      <c r="B426" s="238"/>
      <c r="C426" s="254"/>
      <c r="D426" s="254"/>
    </row>
    <row r="427" spans="1:4" ht="23.25">
      <c r="A427" s="237" t="s">
        <v>46</v>
      </c>
      <c r="B427" s="238"/>
      <c r="C427" s="239">
        <f>SUM(C420:C425)</f>
        <v>26000</v>
      </c>
      <c r="D427" s="239">
        <f>SUM(D420:D425)</f>
        <v>15450.2</v>
      </c>
    </row>
    <row r="428" spans="1:4" ht="23.25">
      <c r="A428" s="232" t="s">
        <v>288</v>
      </c>
      <c r="B428" s="233" t="s">
        <v>289</v>
      </c>
      <c r="C428" s="234"/>
      <c r="D428" s="234"/>
    </row>
    <row r="429" spans="1:4" ht="23.25">
      <c r="A429" s="253" t="s">
        <v>290</v>
      </c>
      <c r="B429" s="238" t="s">
        <v>291</v>
      </c>
      <c r="C429" s="254">
        <v>70000</v>
      </c>
      <c r="D429" s="325">
        <v>23672.04</v>
      </c>
    </row>
    <row r="430" spans="1:4" ht="23.25">
      <c r="A430" s="237" t="s">
        <v>46</v>
      </c>
      <c r="B430" s="238"/>
      <c r="C430" s="239">
        <f>SUM(C429:C429)</f>
        <v>70000</v>
      </c>
      <c r="D430" s="239">
        <f>SUM(D429:D429)</f>
        <v>23672.04</v>
      </c>
    </row>
    <row r="431" spans="1:4" ht="23.25">
      <c r="A431" s="232" t="s">
        <v>292</v>
      </c>
      <c r="B431" s="233" t="s">
        <v>293</v>
      </c>
      <c r="C431" s="234">
        <v>0</v>
      </c>
      <c r="D431" s="234"/>
    </row>
    <row r="432" spans="1:4" ht="23.25">
      <c r="A432" s="237" t="s">
        <v>46</v>
      </c>
      <c r="B432" s="238"/>
      <c r="C432" s="239">
        <f>C431</f>
        <v>0</v>
      </c>
      <c r="D432" s="239">
        <v>0</v>
      </c>
    </row>
    <row r="433" spans="1:4" ht="23.25">
      <c r="A433" s="232" t="s">
        <v>294</v>
      </c>
      <c r="B433" s="233" t="s">
        <v>295</v>
      </c>
      <c r="C433" s="234"/>
      <c r="D433" s="234"/>
    </row>
    <row r="434" spans="1:4" ht="23.25">
      <c r="A434" s="253" t="s">
        <v>296</v>
      </c>
      <c r="B434" s="238" t="s">
        <v>297</v>
      </c>
      <c r="C434" s="254">
        <v>40000</v>
      </c>
      <c r="D434" s="254">
        <v>5200</v>
      </c>
    </row>
    <row r="435" spans="1:4" ht="23.25">
      <c r="A435" s="253" t="s">
        <v>298</v>
      </c>
      <c r="B435" s="238" t="s">
        <v>299</v>
      </c>
      <c r="C435" s="254">
        <v>1000</v>
      </c>
      <c r="D435" s="254">
        <f>8169.4+100</f>
        <v>8269.4</v>
      </c>
    </row>
    <row r="436" spans="1:4" ht="23.25">
      <c r="A436" s="240" t="s">
        <v>46</v>
      </c>
      <c r="B436" s="240"/>
      <c r="C436" s="239">
        <f>SUM(C434:C435)</f>
        <v>41000</v>
      </c>
      <c r="D436" s="239">
        <f>SUM(D434:D435)</f>
        <v>13469.4</v>
      </c>
    </row>
    <row r="437" spans="1:4" ht="23.25">
      <c r="A437" s="280"/>
      <c r="B437" s="280"/>
      <c r="C437" s="281"/>
      <c r="D437" s="281"/>
    </row>
    <row r="438" spans="1:4" ht="23.25">
      <c r="A438" s="146"/>
      <c r="B438" s="146"/>
      <c r="C438" s="326"/>
      <c r="D438" s="326"/>
    </row>
    <row r="439" spans="1:4" ht="23.25">
      <c r="A439" s="210" t="s">
        <v>433</v>
      </c>
      <c r="B439" s="145"/>
      <c r="D439" s="145"/>
    </row>
    <row r="440" spans="1:4" ht="23.25">
      <c r="A440" s="210" t="s">
        <v>434</v>
      </c>
      <c r="B440" s="145"/>
      <c r="D440" s="145"/>
    </row>
    <row r="441" spans="1:4" ht="23.25">
      <c r="A441" s="210" t="s">
        <v>337</v>
      </c>
      <c r="B441" s="145"/>
      <c r="D441" s="145"/>
    </row>
    <row r="442" spans="1:4" ht="23.25">
      <c r="A442" s="210"/>
      <c r="B442" s="145"/>
      <c r="D442" s="145"/>
    </row>
    <row r="443" spans="1:2" ht="23.25">
      <c r="A443" s="210"/>
      <c r="B443" s="145">
        <v>-2</v>
      </c>
    </row>
    <row r="444" spans="1:4" ht="23.25">
      <c r="A444" s="255"/>
      <c r="B444" s="255" t="s">
        <v>30</v>
      </c>
      <c r="C444" s="322" t="s">
        <v>39</v>
      </c>
      <c r="D444" s="322" t="s">
        <v>270</v>
      </c>
    </row>
    <row r="445" spans="1:4" ht="23.25">
      <c r="A445" s="241" t="s">
        <v>300</v>
      </c>
      <c r="B445" s="242" t="s">
        <v>301</v>
      </c>
      <c r="C445" s="142"/>
      <c r="D445" s="143"/>
    </row>
    <row r="446" spans="1:4" ht="23.25">
      <c r="A446" s="232" t="s">
        <v>302</v>
      </c>
      <c r="B446" s="233" t="s">
        <v>303</v>
      </c>
      <c r="C446" s="234"/>
      <c r="D446" s="234"/>
    </row>
    <row r="447" spans="1:4" ht="23.25">
      <c r="A447" s="253" t="s">
        <v>304</v>
      </c>
      <c r="B447" s="238" t="s">
        <v>305</v>
      </c>
      <c r="C447" s="254">
        <v>160000</v>
      </c>
      <c r="D447" s="254">
        <f>96742.29+111256.8</f>
        <v>207999.09</v>
      </c>
    </row>
    <row r="448" spans="1:4" ht="23.25">
      <c r="A448" s="253" t="s">
        <v>306</v>
      </c>
      <c r="B448" s="238" t="s">
        <v>307</v>
      </c>
      <c r="C448" s="254">
        <v>9140000</v>
      </c>
      <c r="D448" s="254">
        <f>1479825.59+732974.31+746545.91+1461389.9+1520999.52</f>
        <v>5941735.23</v>
      </c>
    </row>
    <row r="449" spans="1:4" ht="23.25">
      <c r="A449" s="253" t="s">
        <v>308</v>
      </c>
      <c r="B449" s="238" t="s">
        <v>309</v>
      </c>
      <c r="C449" s="254">
        <v>1500000</v>
      </c>
      <c r="D449" s="254">
        <f>223111.55+111564.98+143657.5+182278.21+75697.93+176735.74+79858.83</f>
        <v>992904.7399999999</v>
      </c>
    </row>
    <row r="450" spans="1:4" ht="23.25">
      <c r="A450" s="253" t="s">
        <v>310</v>
      </c>
      <c r="B450" s="238" t="s">
        <v>311</v>
      </c>
      <c r="C450" s="254">
        <v>80000</v>
      </c>
      <c r="D450" s="254">
        <f>8361.66+7503.48+5991.83+8395.03+4826.93+5215.86+7218.78</f>
        <v>47513.57</v>
      </c>
    </row>
    <row r="451" spans="1:4" ht="23.25">
      <c r="A451" s="253" t="s">
        <v>312</v>
      </c>
      <c r="B451" s="238" t="s">
        <v>313</v>
      </c>
      <c r="C451" s="254">
        <v>700000</v>
      </c>
      <c r="D451" s="254">
        <f>104186.51+54104.3+77347.6+50934.64+63302.53+77415.71+60111.76</f>
        <v>487403.05</v>
      </c>
    </row>
    <row r="452" spans="1:4" ht="23.25">
      <c r="A452" s="253" t="s">
        <v>314</v>
      </c>
      <c r="B452" s="238" t="s">
        <v>315</v>
      </c>
      <c r="C452" s="254">
        <v>1200000</v>
      </c>
      <c r="D452" s="254">
        <f>275482.82+126002.78+160661.4+126503.92+149061.58+175031.39+148930.61</f>
        <v>1161674.5</v>
      </c>
    </row>
    <row r="453" spans="1:4" ht="23.25">
      <c r="A453" s="253" t="s">
        <v>316</v>
      </c>
      <c r="B453" s="238" t="s">
        <v>317</v>
      </c>
      <c r="C453" s="254">
        <v>30000</v>
      </c>
      <c r="D453" s="325">
        <f>11022.62+12632.77</f>
        <v>23655.39</v>
      </c>
    </row>
    <row r="454" spans="1:4" ht="23.25">
      <c r="A454" s="253" t="s">
        <v>318</v>
      </c>
      <c r="B454" s="238" t="s">
        <v>319</v>
      </c>
      <c r="C454" s="254">
        <v>40000</v>
      </c>
      <c r="D454" s="254">
        <f>5473.67+5110.41+5935</f>
        <v>16519.08</v>
      </c>
    </row>
    <row r="455" spans="1:4" ht="23.25">
      <c r="A455" s="253" t="s">
        <v>320</v>
      </c>
      <c r="B455" s="238" t="s">
        <v>321</v>
      </c>
      <c r="C455" s="254">
        <v>300000</v>
      </c>
      <c r="D455" s="254">
        <f>22520+32955+53903+31861+23544+17711+18490</f>
        <v>200984</v>
      </c>
    </row>
    <row r="456" spans="1:4" ht="23.25">
      <c r="A456" s="253" t="s">
        <v>342</v>
      </c>
      <c r="B456" s="238" t="s">
        <v>343</v>
      </c>
      <c r="C456" s="254">
        <v>500</v>
      </c>
      <c r="D456" s="254"/>
    </row>
    <row r="457" spans="1:4" ht="23.25">
      <c r="A457" s="253"/>
      <c r="B457" s="238"/>
      <c r="C457" s="254"/>
      <c r="D457" s="327"/>
    </row>
    <row r="458" spans="1:4" ht="23.25">
      <c r="A458" s="237" t="s">
        <v>46</v>
      </c>
      <c r="B458" s="238"/>
      <c r="C458" s="239">
        <f>SUM(C447:C457)</f>
        <v>13150500</v>
      </c>
      <c r="D458" s="239">
        <f>SUM(D447:D457)</f>
        <v>9080388.65</v>
      </c>
    </row>
    <row r="459" spans="1:4" ht="23.25">
      <c r="A459" s="241" t="s">
        <v>322</v>
      </c>
      <c r="B459" s="242" t="s">
        <v>323</v>
      </c>
      <c r="C459" s="205"/>
      <c r="D459" s="205"/>
    </row>
    <row r="460" spans="1:4" ht="23.25">
      <c r="A460" s="243" t="s">
        <v>324</v>
      </c>
      <c r="B460" s="242" t="s">
        <v>325</v>
      </c>
      <c r="C460" s="205">
        <f>SUM(C461:C462)</f>
        <v>14304500</v>
      </c>
      <c r="D460" s="205">
        <f>SUM(D461:D463)</f>
        <v>8243000</v>
      </c>
    </row>
    <row r="461" spans="1:4" ht="23.25">
      <c r="A461" s="253" t="s">
        <v>326</v>
      </c>
      <c r="B461" s="238" t="s">
        <v>327</v>
      </c>
      <c r="C461" s="254">
        <v>14304500</v>
      </c>
      <c r="D461" s="325">
        <v>2663261</v>
      </c>
    </row>
    <row r="462" spans="1:4" ht="23.25">
      <c r="A462" s="13" t="s">
        <v>328</v>
      </c>
      <c r="B462" s="328"/>
      <c r="C462" s="142"/>
      <c r="D462" s="142"/>
    </row>
    <row r="463" spans="1:4" ht="23.25">
      <c r="A463" s="13" t="s">
        <v>404</v>
      </c>
      <c r="B463" s="328"/>
      <c r="C463" s="142"/>
      <c r="D463" s="142">
        <f>2131600+350400+12000+213900+100300+56528+147500+242398+506000+113640+243000+116409+70800+28264+6000+1065800+175200</f>
        <v>5579739</v>
      </c>
    </row>
    <row r="464" spans="1:4" ht="23.25">
      <c r="A464" s="237" t="s">
        <v>46</v>
      </c>
      <c r="B464" s="238"/>
      <c r="C464" s="239">
        <f>SUM(C461:C462)</f>
        <v>14304500</v>
      </c>
      <c r="D464" s="239">
        <f>SUM(D461:D463)</f>
        <v>8243000</v>
      </c>
    </row>
    <row r="465" spans="1:4" ht="23.25">
      <c r="A465" s="373" t="s">
        <v>329</v>
      </c>
      <c r="B465" s="374"/>
      <c r="C465" s="239">
        <f>SUM(C418+C427+C430+C432+C436+C458+C464)</f>
        <v>27650000</v>
      </c>
      <c r="D465" s="239">
        <f>SUM(D418+D427+D430+D432+D436+D458+D460)</f>
        <v>17447170.5</v>
      </c>
    </row>
    <row r="466" spans="2:4" ht="23.25">
      <c r="B466" s="145"/>
      <c r="C466" s="188"/>
      <c r="D466" s="188"/>
    </row>
    <row r="467" spans="2:4" ht="23.25">
      <c r="B467" s="145"/>
      <c r="C467" s="188"/>
      <c r="D467" s="188"/>
    </row>
    <row r="468" spans="1:4" ht="23.25">
      <c r="A468" s="210" t="s">
        <v>433</v>
      </c>
      <c r="B468" s="145"/>
      <c r="D468" s="145"/>
    </row>
    <row r="469" spans="1:4" ht="23.25">
      <c r="A469" s="210" t="s">
        <v>434</v>
      </c>
      <c r="B469" s="145"/>
      <c r="D469" s="145"/>
    </row>
    <row r="470" spans="1:4" ht="23.25">
      <c r="A470" s="210" t="s">
        <v>337</v>
      </c>
      <c r="B470" s="145"/>
      <c r="D470" s="145"/>
    </row>
    <row r="471" spans="1:4" ht="23.25">
      <c r="A471" s="210"/>
      <c r="B471" s="145"/>
      <c r="D471" s="145"/>
    </row>
    <row r="472" spans="1:4" ht="23.25">
      <c r="A472" s="210"/>
      <c r="B472" s="145"/>
      <c r="D472" s="145"/>
    </row>
    <row r="473" spans="1:4" ht="23.25">
      <c r="A473" s="210"/>
      <c r="B473" s="145"/>
      <c r="D473" s="145"/>
    </row>
    <row r="474" spans="1:4" ht="23.25">
      <c r="A474" s="210"/>
      <c r="B474" s="145"/>
      <c r="D474" s="145"/>
    </row>
    <row r="475" spans="1:4" ht="23.25">
      <c r="A475" s="210"/>
      <c r="B475" s="145"/>
      <c r="D475" s="145"/>
    </row>
    <row r="476" spans="1:4" ht="23.25">
      <c r="A476" s="210"/>
      <c r="B476" s="145"/>
      <c r="D476" s="145"/>
    </row>
    <row r="477" spans="1:4" ht="23.25">
      <c r="A477" s="343" t="s">
        <v>330</v>
      </c>
      <c r="B477" s="343"/>
      <c r="C477" s="343"/>
      <c r="D477" s="343"/>
    </row>
    <row r="478" spans="1:4" ht="23.25">
      <c r="A478" s="343" t="s">
        <v>268</v>
      </c>
      <c r="B478" s="343"/>
      <c r="C478" s="343"/>
      <c r="D478" s="343"/>
    </row>
    <row r="479" spans="1:4" ht="23.25">
      <c r="A479" s="372" t="s">
        <v>452</v>
      </c>
      <c r="B479" s="372"/>
      <c r="C479" s="372"/>
      <c r="D479" s="372"/>
    </row>
    <row r="480" spans="1:4" ht="23.25">
      <c r="A480" s="255"/>
      <c r="B480" s="255" t="s">
        <v>269</v>
      </c>
      <c r="C480" s="322" t="s">
        <v>39</v>
      </c>
      <c r="D480" s="322" t="s">
        <v>270</v>
      </c>
    </row>
    <row r="481" spans="1:4" ht="23.25">
      <c r="A481" s="229" t="s">
        <v>271</v>
      </c>
      <c r="B481" s="230">
        <v>41000000</v>
      </c>
      <c r="C481" s="231"/>
      <c r="D481" s="231"/>
    </row>
    <row r="482" spans="1:4" ht="23.25">
      <c r="A482" s="232" t="s">
        <v>272</v>
      </c>
      <c r="B482" s="233" t="s">
        <v>273</v>
      </c>
      <c r="C482" s="234"/>
      <c r="D482" s="235"/>
    </row>
    <row r="483" spans="1:4" ht="23.25">
      <c r="A483" s="253" t="s">
        <v>274</v>
      </c>
      <c r="B483" s="238" t="s">
        <v>275</v>
      </c>
      <c r="C483" s="254">
        <v>17000</v>
      </c>
      <c r="D483" s="254">
        <f>1275.5+21070.25+705+4520.25</f>
        <v>27571</v>
      </c>
    </row>
    <row r="484" spans="1:4" ht="23.25">
      <c r="A484" s="253" t="s">
        <v>276</v>
      </c>
      <c r="B484" s="238" t="s">
        <v>277</v>
      </c>
      <c r="C484" s="254">
        <v>40000</v>
      </c>
      <c r="D484" s="323">
        <f>10018.32+19942.44+5581.5+3896.84+2180.11</f>
        <v>41619.20999999999</v>
      </c>
    </row>
    <row r="485" spans="1:4" ht="23.25">
      <c r="A485" s="253" t="s">
        <v>278</v>
      </c>
      <c r="B485" s="238" t="s">
        <v>279</v>
      </c>
      <c r="C485" s="254">
        <v>1000</v>
      </c>
      <c r="D485" s="323">
        <v>2000</v>
      </c>
    </row>
    <row r="486" spans="1:4" ht="23.25">
      <c r="A486" s="237" t="s">
        <v>46</v>
      </c>
      <c r="B486" s="238"/>
      <c r="C486" s="239">
        <f>SUM(C483:C485)</f>
        <v>58000</v>
      </c>
      <c r="D486" s="239">
        <f>SUM(D483:D485)</f>
        <v>71190.20999999999</v>
      </c>
    </row>
    <row r="487" spans="1:4" ht="23.25">
      <c r="A487" s="232" t="s">
        <v>280</v>
      </c>
      <c r="B487" s="233" t="s">
        <v>281</v>
      </c>
      <c r="C487" s="234"/>
      <c r="D487" s="234"/>
    </row>
    <row r="488" spans="1:4" ht="23.25">
      <c r="A488" s="253" t="s">
        <v>333</v>
      </c>
      <c r="B488" s="238" t="s">
        <v>338</v>
      </c>
      <c r="C488" s="254">
        <v>3000</v>
      </c>
      <c r="D488" s="254">
        <f>1382+1975+20+567+302+2770</f>
        <v>7016</v>
      </c>
    </row>
    <row r="489" spans="1:4" ht="23.25">
      <c r="A489" s="253" t="s">
        <v>334</v>
      </c>
      <c r="B489" s="238" t="s">
        <v>283</v>
      </c>
      <c r="C489" s="254">
        <v>500</v>
      </c>
      <c r="D489" s="254">
        <f>50+100+50</f>
        <v>200</v>
      </c>
    </row>
    <row r="490" spans="1:4" ht="23.25">
      <c r="A490" s="253" t="s">
        <v>335</v>
      </c>
      <c r="B490" s="238" t="s">
        <v>339</v>
      </c>
      <c r="C490" s="254">
        <v>500</v>
      </c>
      <c r="D490" s="254">
        <v>0</v>
      </c>
    </row>
    <row r="491" spans="1:4" ht="23.25">
      <c r="A491" s="253" t="s">
        <v>284</v>
      </c>
      <c r="B491" s="324" t="s">
        <v>285</v>
      </c>
      <c r="C491" s="254">
        <v>1000</v>
      </c>
      <c r="D491" s="254">
        <f>1000+5900</f>
        <v>6900</v>
      </c>
    </row>
    <row r="492" spans="1:4" ht="23.25">
      <c r="A492" s="253" t="s">
        <v>286</v>
      </c>
      <c r="B492" s="238" t="s">
        <v>287</v>
      </c>
      <c r="C492" s="254">
        <v>20000</v>
      </c>
      <c r="D492" s="254">
        <v>500</v>
      </c>
    </row>
    <row r="493" spans="1:4" ht="23.25">
      <c r="A493" s="253" t="s">
        <v>336</v>
      </c>
      <c r="B493" s="238" t="s">
        <v>282</v>
      </c>
      <c r="C493" s="254">
        <v>1000</v>
      </c>
      <c r="D493" s="254">
        <f>19.4+77.6+659.6+77.6</f>
        <v>834.2</v>
      </c>
    </row>
    <row r="494" spans="1:4" ht="23.25">
      <c r="A494" s="253"/>
      <c r="B494" s="238"/>
      <c r="C494" s="254"/>
      <c r="D494" s="254"/>
    </row>
    <row r="495" spans="1:4" ht="23.25">
      <c r="A495" s="237" t="s">
        <v>46</v>
      </c>
      <c r="B495" s="238"/>
      <c r="C495" s="239">
        <f>SUM(C488:C493)</f>
        <v>26000</v>
      </c>
      <c r="D495" s="239">
        <f>SUM(D488:D493)</f>
        <v>15450.2</v>
      </c>
    </row>
    <row r="496" spans="1:4" ht="23.25">
      <c r="A496" s="232" t="s">
        <v>288</v>
      </c>
      <c r="B496" s="233" t="s">
        <v>289</v>
      </c>
      <c r="C496" s="234"/>
      <c r="D496" s="234"/>
    </row>
    <row r="497" spans="1:4" ht="23.25">
      <c r="A497" s="253" t="s">
        <v>290</v>
      </c>
      <c r="B497" s="238" t="s">
        <v>291</v>
      </c>
      <c r="C497" s="254">
        <v>70000</v>
      </c>
      <c r="D497" s="325">
        <v>23672.04</v>
      </c>
    </row>
    <row r="498" spans="1:4" ht="23.25">
      <c r="A498" s="237" t="s">
        <v>46</v>
      </c>
      <c r="B498" s="238"/>
      <c r="C498" s="239">
        <f>SUM(C497:C497)</f>
        <v>70000</v>
      </c>
      <c r="D498" s="239">
        <f>SUM(D497:D497)</f>
        <v>23672.04</v>
      </c>
    </row>
    <row r="499" spans="1:4" ht="23.25">
      <c r="A499" s="232" t="s">
        <v>292</v>
      </c>
      <c r="B499" s="233" t="s">
        <v>293</v>
      </c>
      <c r="C499" s="234">
        <v>0</v>
      </c>
      <c r="D499" s="234"/>
    </row>
    <row r="500" spans="1:4" ht="23.25">
      <c r="A500" s="237" t="s">
        <v>46</v>
      </c>
      <c r="B500" s="238"/>
      <c r="C500" s="239">
        <f>C499</f>
        <v>0</v>
      </c>
      <c r="D500" s="239">
        <v>0</v>
      </c>
    </row>
    <row r="501" spans="1:4" ht="23.25">
      <c r="A501" s="232" t="s">
        <v>294</v>
      </c>
      <c r="B501" s="233" t="s">
        <v>295</v>
      </c>
      <c r="C501" s="234"/>
      <c r="D501" s="234"/>
    </row>
    <row r="502" spans="1:4" ht="23.25">
      <c r="A502" s="253" t="s">
        <v>296</v>
      </c>
      <c r="B502" s="238" t="s">
        <v>297</v>
      </c>
      <c r="C502" s="254">
        <v>40000</v>
      </c>
      <c r="D502" s="254">
        <v>5200</v>
      </c>
    </row>
    <row r="503" spans="1:4" ht="23.25">
      <c r="A503" s="253" t="s">
        <v>298</v>
      </c>
      <c r="B503" s="238" t="s">
        <v>299</v>
      </c>
      <c r="C503" s="254">
        <v>1000</v>
      </c>
      <c r="D503" s="254">
        <f>8169.4+100</f>
        <v>8269.4</v>
      </c>
    </row>
    <row r="504" spans="1:4" ht="23.25">
      <c r="A504" s="240" t="s">
        <v>46</v>
      </c>
      <c r="B504" s="240"/>
      <c r="C504" s="239">
        <f>SUM(C502:C503)</f>
        <v>41000</v>
      </c>
      <c r="D504" s="239">
        <f>SUM(D502:D503)</f>
        <v>13469.4</v>
      </c>
    </row>
    <row r="505" spans="1:4" ht="23.25">
      <c r="A505" s="280"/>
      <c r="B505" s="280"/>
      <c r="C505" s="281"/>
      <c r="D505" s="281"/>
    </row>
    <row r="506" spans="1:4" ht="23.25">
      <c r="A506" s="146"/>
      <c r="B506" s="146"/>
      <c r="C506" s="326"/>
      <c r="D506" s="326"/>
    </row>
    <row r="507" spans="1:4" ht="23.25">
      <c r="A507" s="210" t="s">
        <v>433</v>
      </c>
      <c r="B507" s="145"/>
      <c r="D507" s="145"/>
    </row>
    <row r="508" spans="1:4" ht="23.25">
      <c r="A508" s="210" t="s">
        <v>434</v>
      </c>
      <c r="B508" s="145"/>
      <c r="D508" s="145"/>
    </row>
    <row r="509" spans="1:4" ht="23.25">
      <c r="A509" s="210" t="s">
        <v>337</v>
      </c>
      <c r="B509" s="145"/>
      <c r="D509" s="145"/>
    </row>
    <row r="510" spans="1:4" ht="23.25">
      <c r="A510" s="210"/>
      <c r="B510" s="145"/>
      <c r="D510" s="145"/>
    </row>
    <row r="511" spans="1:2" ht="23.25">
      <c r="A511" s="210"/>
      <c r="B511" s="145">
        <v>-2</v>
      </c>
    </row>
    <row r="512" spans="1:4" ht="23.25">
      <c r="A512" s="255"/>
      <c r="B512" s="255" t="s">
        <v>30</v>
      </c>
      <c r="C512" s="322" t="s">
        <v>39</v>
      </c>
      <c r="D512" s="322" t="s">
        <v>270</v>
      </c>
    </row>
    <row r="513" spans="1:4" ht="23.25">
      <c r="A513" s="241" t="s">
        <v>300</v>
      </c>
      <c r="B513" s="242" t="s">
        <v>301</v>
      </c>
      <c r="C513" s="142"/>
      <c r="D513" s="143"/>
    </row>
    <row r="514" spans="1:4" ht="23.25">
      <c r="A514" s="232" t="s">
        <v>302</v>
      </c>
      <c r="B514" s="233" t="s">
        <v>303</v>
      </c>
      <c r="C514" s="234"/>
      <c r="D514" s="234"/>
    </row>
    <row r="515" spans="1:4" ht="23.25">
      <c r="A515" s="253" t="s">
        <v>304</v>
      </c>
      <c r="B515" s="238" t="s">
        <v>305</v>
      </c>
      <c r="C515" s="254">
        <v>160000</v>
      </c>
      <c r="D515" s="254">
        <f>96742.29+111256.8</f>
        <v>207999.09</v>
      </c>
    </row>
    <row r="516" spans="1:4" ht="23.25">
      <c r="A516" s="253" t="s">
        <v>306</v>
      </c>
      <c r="B516" s="238" t="s">
        <v>307</v>
      </c>
      <c r="C516" s="254">
        <v>9140000</v>
      </c>
      <c r="D516" s="254">
        <f>1479825.59+732974.31+746545.91+1461389.9+1520999.52</f>
        <v>5941735.23</v>
      </c>
    </row>
    <row r="517" spans="1:4" ht="23.25">
      <c r="A517" s="253" t="s">
        <v>308</v>
      </c>
      <c r="B517" s="238" t="s">
        <v>309</v>
      </c>
      <c r="C517" s="254">
        <v>1500000</v>
      </c>
      <c r="D517" s="254">
        <f>223111.55+111564.98+143657.5+182278.21+75697.93+176735.74+79858.83</f>
        <v>992904.7399999999</v>
      </c>
    </row>
    <row r="518" spans="1:4" ht="23.25">
      <c r="A518" s="253" t="s">
        <v>310</v>
      </c>
      <c r="B518" s="238" t="s">
        <v>311</v>
      </c>
      <c r="C518" s="254">
        <v>80000</v>
      </c>
      <c r="D518" s="254">
        <f>8361.66+7503.48+5991.83+8395.03+4826.93+5215.86+7218.78</f>
        <v>47513.57</v>
      </c>
    </row>
    <row r="519" spans="1:4" ht="23.25">
      <c r="A519" s="253" t="s">
        <v>312</v>
      </c>
      <c r="B519" s="238" t="s">
        <v>313</v>
      </c>
      <c r="C519" s="254">
        <v>700000</v>
      </c>
      <c r="D519" s="254">
        <f>104186.51+54104.3+77347.6+50934.64+63302.53+77415.71+60111.76</f>
        <v>487403.05</v>
      </c>
    </row>
    <row r="520" spans="1:4" ht="23.25">
      <c r="A520" s="253" t="s">
        <v>314</v>
      </c>
      <c r="B520" s="238" t="s">
        <v>315</v>
      </c>
      <c r="C520" s="254">
        <v>1200000</v>
      </c>
      <c r="D520" s="254">
        <f>275482.82+126002.78+160661.4+126503.92+149061.58+175031.39+148930.61</f>
        <v>1161674.5</v>
      </c>
    </row>
    <row r="521" spans="1:4" ht="23.25">
      <c r="A521" s="253" t="s">
        <v>316</v>
      </c>
      <c r="B521" s="238" t="s">
        <v>317</v>
      </c>
      <c r="C521" s="254">
        <v>30000</v>
      </c>
      <c r="D521" s="325">
        <f>11022.62+12632.77</f>
        <v>23655.39</v>
      </c>
    </row>
    <row r="522" spans="1:4" ht="23.25">
      <c r="A522" s="253" t="s">
        <v>318</v>
      </c>
      <c r="B522" s="238" t="s">
        <v>319</v>
      </c>
      <c r="C522" s="254">
        <v>40000</v>
      </c>
      <c r="D522" s="254">
        <f>5473.67+5110.41+5935</f>
        <v>16519.08</v>
      </c>
    </row>
    <row r="523" spans="1:4" ht="23.25">
      <c r="A523" s="253" t="s">
        <v>320</v>
      </c>
      <c r="B523" s="238" t="s">
        <v>321</v>
      </c>
      <c r="C523" s="254">
        <v>300000</v>
      </c>
      <c r="D523" s="254">
        <f>22520+32955+53903+31861+23544+17711+18490</f>
        <v>200984</v>
      </c>
    </row>
    <row r="524" spans="1:4" ht="23.25">
      <c r="A524" s="253" t="s">
        <v>342</v>
      </c>
      <c r="B524" s="238" t="s">
        <v>343</v>
      </c>
      <c r="C524" s="254">
        <v>500</v>
      </c>
      <c r="D524" s="254"/>
    </row>
    <row r="525" spans="1:4" ht="23.25">
      <c r="A525" s="253"/>
      <c r="B525" s="238"/>
      <c r="C525" s="254"/>
      <c r="D525" s="327"/>
    </row>
    <row r="526" spans="1:4" ht="23.25">
      <c r="A526" s="237" t="s">
        <v>46</v>
      </c>
      <c r="B526" s="238"/>
      <c r="C526" s="239">
        <f>SUM(C515:C525)</f>
        <v>13150500</v>
      </c>
      <c r="D526" s="239">
        <f>SUM(D515:D525)</f>
        <v>9080388.65</v>
      </c>
    </row>
    <row r="527" spans="1:4" ht="23.25">
      <c r="A527" s="241" t="s">
        <v>322</v>
      </c>
      <c r="B527" s="242" t="s">
        <v>323</v>
      </c>
      <c r="C527" s="205"/>
      <c r="D527" s="205"/>
    </row>
    <row r="528" spans="1:4" ht="23.25">
      <c r="A528" s="243" t="s">
        <v>324</v>
      </c>
      <c r="B528" s="242" t="s">
        <v>325</v>
      </c>
      <c r="C528" s="205">
        <f>SUM(C529:C530)</f>
        <v>14304500</v>
      </c>
      <c r="D528" s="205">
        <f>SUM(D529:D531)</f>
        <v>8243000</v>
      </c>
    </row>
    <row r="529" spans="1:4" ht="23.25">
      <c r="A529" s="253" t="s">
        <v>326</v>
      </c>
      <c r="B529" s="238" t="s">
        <v>327</v>
      </c>
      <c r="C529" s="254">
        <v>14304500</v>
      </c>
      <c r="D529" s="325">
        <v>2663261</v>
      </c>
    </row>
    <row r="530" spans="1:4" ht="23.25">
      <c r="A530" s="13" t="s">
        <v>328</v>
      </c>
      <c r="B530" s="328"/>
      <c r="C530" s="142"/>
      <c r="D530" s="142"/>
    </row>
    <row r="531" spans="1:4" ht="23.25">
      <c r="A531" s="13" t="s">
        <v>404</v>
      </c>
      <c r="B531" s="328"/>
      <c r="C531" s="142"/>
      <c r="D531" s="142">
        <f>2131600+350400+12000+213900+100300+56528+147500+242398+506000+113640+243000+116409+70800+28264+6000+1065800+175200</f>
        <v>5579739</v>
      </c>
    </row>
    <row r="532" spans="1:4" ht="23.25">
      <c r="A532" s="237" t="s">
        <v>46</v>
      </c>
      <c r="B532" s="238"/>
      <c r="C532" s="239">
        <f>SUM(C529:C530)</f>
        <v>14304500</v>
      </c>
      <c r="D532" s="239">
        <f>SUM(D529:D531)</f>
        <v>8243000</v>
      </c>
    </row>
    <row r="533" spans="1:4" ht="23.25">
      <c r="A533" s="373" t="s">
        <v>329</v>
      </c>
      <c r="B533" s="374"/>
      <c r="C533" s="239">
        <f>SUM(C486+C495+C498+C500+C504+C526+C532)</f>
        <v>27650000</v>
      </c>
      <c r="D533" s="239">
        <f>SUM(D486+D495+D498+D500+D504+D526+D528)</f>
        <v>17447170.5</v>
      </c>
    </row>
    <row r="534" spans="2:4" ht="23.25">
      <c r="B534" s="145"/>
      <c r="C534" s="188"/>
      <c r="D534" s="188"/>
    </row>
    <row r="535" spans="2:4" ht="23.25">
      <c r="B535" s="145"/>
      <c r="C535" s="188"/>
      <c r="D535" s="188"/>
    </row>
    <row r="536" spans="1:4" ht="23.25">
      <c r="A536" s="210" t="s">
        <v>433</v>
      </c>
      <c r="B536" s="145"/>
      <c r="D536" s="145"/>
    </row>
    <row r="537" spans="1:4" ht="23.25">
      <c r="A537" s="210" t="s">
        <v>434</v>
      </c>
      <c r="B537" s="145"/>
      <c r="D537" s="145"/>
    </row>
    <row r="538" spans="1:4" ht="23.25">
      <c r="A538" s="210" t="s">
        <v>337</v>
      </c>
      <c r="B538" s="145"/>
      <c r="D538" s="145"/>
    </row>
    <row r="539" spans="1:4" ht="23.25">
      <c r="A539" s="210"/>
      <c r="B539" s="145"/>
      <c r="D539" s="145"/>
    </row>
    <row r="540" spans="1:4" ht="23.25">
      <c r="A540" s="210"/>
      <c r="B540" s="145"/>
      <c r="D540" s="145"/>
    </row>
    <row r="541" spans="1:4" ht="23.25">
      <c r="A541" s="210"/>
      <c r="B541" s="145"/>
      <c r="D541" s="145"/>
    </row>
    <row r="542" spans="1:4" ht="23.25">
      <c r="A542" s="210"/>
      <c r="B542" s="145"/>
      <c r="D542" s="145"/>
    </row>
    <row r="543" spans="1:4" ht="23.25">
      <c r="A543" s="210"/>
      <c r="B543" s="145"/>
      <c r="D543" s="145"/>
    </row>
    <row r="544" spans="1:4" ht="23.25">
      <c r="A544" s="210"/>
      <c r="B544" s="145"/>
      <c r="D544" s="145"/>
    </row>
    <row r="545" spans="1:4" ht="23.25">
      <c r="A545" s="210"/>
      <c r="B545" s="145"/>
      <c r="D545" s="145"/>
    </row>
    <row r="546" spans="1:4" ht="23.25">
      <c r="A546" s="210"/>
      <c r="B546" s="145"/>
      <c r="D546" s="145"/>
    </row>
    <row r="547" spans="1:4" ht="23.25">
      <c r="A547" s="343" t="s">
        <v>330</v>
      </c>
      <c r="B547" s="343"/>
      <c r="C547" s="343"/>
      <c r="D547" s="343"/>
    </row>
    <row r="548" spans="1:4" ht="23.25">
      <c r="A548" s="343" t="s">
        <v>268</v>
      </c>
      <c r="B548" s="343"/>
      <c r="C548" s="343"/>
      <c r="D548" s="343"/>
    </row>
    <row r="549" spans="1:4" ht="23.25">
      <c r="A549" s="372" t="s">
        <v>491</v>
      </c>
      <c r="B549" s="372"/>
      <c r="C549" s="372"/>
      <c r="D549" s="372"/>
    </row>
    <row r="550" spans="1:4" ht="23.25">
      <c r="A550" s="255"/>
      <c r="B550" s="255" t="s">
        <v>269</v>
      </c>
      <c r="C550" s="322" t="s">
        <v>39</v>
      </c>
      <c r="D550" s="322" t="s">
        <v>270</v>
      </c>
    </row>
    <row r="551" spans="1:4" ht="23.25">
      <c r="A551" s="229" t="s">
        <v>271</v>
      </c>
      <c r="B551" s="230">
        <v>41000000</v>
      </c>
      <c r="C551" s="231"/>
      <c r="D551" s="231"/>
    </row>
    <row r="552" spans="1:4" ht="23.25">
      <c r="A552" s="232" t="s">
        <v>272</v>
      </c>
      <c r="B552" s="233" t="s">
        <v>273</v>
      </c>
      <c r="C552" s="234"/>
      <c r="D552" s="235"/>
    </row>
    <row r="553" spans="1:4" ht="23.25">
      <c r="A553" s="253" t="s">
        <v>274</v>
      </c>
      <c r="B553" s="238" t="s">
        <v>275</v>
      </c>
      <c r="C553" s="254">
        <v>17000</v>
      </c>
      <c r="D553" s="254">
        <f>1275.5+21070.25+705+4520.25</f>
        <v>27571</v>
      </c>
    </row>
    <row r="554" spans="1:4" ht="23.25">
      <c r="A554" s="253" t="s">
        <v>276</v>
      </c>
      <c r="B554" s="238" t="s">
        <v>277</v>
      </c>
      <c r="C554" s="254">
        <v>40000</v>
      </c>
      <c r="D554" s="323">
        <v>42341.31</v>
      </c>
    </row>
    <row r="555" spans="1:4" ht="23.25">
      <c r="A555" s="253" t="s">
        <v>278</v>
      </c>
      <c r="B555" s="238" t="s">
        <v>279</v>
      </c>
      <c r="C555" s="254">
        <v>1000</v>
      </c>
      <c r="D555" s="323">
        <v>2000</v>
      </c>
    </row>
    <row r="556" spans="1:4" ht="23.25">
      <c r="A556" s="237" t="s">
        <v>46</v>
      </c>
      <c r="B556" s="238"/>
      <c r="C556" s="239">
        <f>SUM(C553:C555)</f>
        <v>58000</v>
      </c>
      <c r="D556" s="239">
        <f>SUM(D553:D555)</f>
        <v>71912.31</v>
      </c>
    </row>
    <row r="557" spans="1:4" ht="23.25">
      <c r="A557" s="232" t="s">
        <v>280</v>
      </c>
      <c r="B557" s="233" t="s">
        <v>281</v>
      </c>
      <c r="C557" s="234"/>
      <c r="D557" s="234"/>
    </row>
    <row r="558" spans="1:4" ht="23.25">
      <c r="A558" s="253" t="s">
        <v>333</v>
      </c>
      <c r="B558" s="238" t="s">
        <v>338</v>
      </c>
      <c r="C558" s="254">
        <v>3000</v>
      </c>
      <c r="D558" s="254">
        <f>1382+1975+20+567+302+2770</f>
        <v>7016</v>
      </c>
    </row>
    <row r="559" spans="1:4" ht="23.25">
      <c r="A559" s="253" t="s">
        <v>334</v>
      </c>
      <c r="B559" s="238" t="s">
        <v>283</v>
      </c>
      <c r="C559" s="254">
        <v>500</v>
      </c>
      <c r="D559" s="254">
        <f>50+100+50</f>
        <v>200</v>
      </c>
    </row>
    <row r="560" spans="1:4" ht="23.25">
      <c r="A560" s="253" t="s">
        <v>335</v>
      </c>
      <c r="B560" s="238" t="s">
        <v>339</v>
      </c>
      <c r="C560" s="254">
        <v>500</v>
      </c>
      <c r="D560" s="254">
        <v>0</v>
      </c>
    </row>
    <row r="561" spans="1:4" ht="23.25">
      <c r="A561" s="253" t="s">
        <v>284</v>
      </c>
      <c r="B561" s="324" t="s">
        <v>285</v>
      </c>
      <c r="C561" s="254">
        <v>1000</v>
      </c>
      <c r="D561" s="254">
        <f>1000+5900</f>
        <v>6900</v>
      </c>
    </row>
    <row r="562" spans="1:4" ht="23.25">
      <c r="A562" s="253" t="s">
        <v>286</v>
      </c>
      <c r="B562" s="238" t="s">
        <v>287</v>
      </c>
      <c r="C562" s="254">
        <v>20000</v>
      </c>
      <c r="D562" s="254">
        <v>500</v>
      </c>
    </row>
    <row r="563" spans="1:4" ht="23.25">
      <c r="A563" s="253" t="s">
        <v>336</v>
      </c>
      <c r="B563" s="238" t="s">
        <v>282</v>
      </c>
      <c r="C563" s="254">
        <v>1000</v>
      </c>
      <c r="D563" s="254">
        <f>19.4+77.6+659.6+77.6</f>
        <v>834.2</v>
      </c>
    </row>
    <row r="564" spans="1:4" ht="23.25">
      <c r="A564" s="253"/>
      <c r="B564" s="238"/>
      <c r="C564" s="254"/>
      <c r="D564" s="254"/>
    </row>
    <row r="565" spans="1:4" ht="23.25">
      <c r="A565" s="237" t="s">
        <v>46</v>
      </c>
      <c r="B565" s="238"/>
      <c r="C565" s="239">
        <f>SUM(C558:C563)</f>
        <v>26000</v>
      </c>
      <c r="D565" s="239">
        <f>SUM(D558:D563)</f>
        <v>15450.2</v>
      </c>
    </row>
    <row r="566" spans="1:4" ht="23.25">
      <c r="A566" s="232" t="s">
        <v>288</v>
      </c>
      <c r="B566" s="233" t="s">
        <v>289</v>
      </c>
      <c r="C566" s="234"/>
      <c r="D566" s="234"/>
    </row>
    <row r="567" spans="1:4" ht="23.25">
      <c r="A567" s="253" t="s">
        <v>290</v>
      </c>
      <c r="B567" s="238" t="s">
        <v>291</v>
      </c>
      <c r="C567" s="254">
        <v>70000</v>
      </c>
      <c r="D567" s="325">
        <v>23672.04</v>
      </c>
    </row>
    <row r="568" spans="1:4" ht="23.25">
      <c r="A568" s="237" t="s">
        <v>46</v>
      </c>
      <c r="B568" s="238"/>
      <c r="C568" s="239">
        <f>SUM(C567:C567)</f>
        <v>70000</v>
      </c>
      <c r="D568" s="239">
        <f>SUM(D567:D567)</f>
        <v>23672.04</v>
      </c>
    </row>
    <row r="569" spans="1:4" ht="23.25">
      <c r="A569" s="232" t="s">
        <v>292</v>
      </c>
      <c r="B569" s="233" t="s">
        <v>293</v>
      </c>
      <c r="C569" s="234">
        <v>0</v>
      </c>
      <c r="D569" s="234"/>
    </row>
    <row r="570" spans="1:4" ht="23.25">
      <c r="A570" s="237" t="s">
        <v>46</v>
      </c>
      <c r="B570" s="238"/>
      <c r="C570" s="239">
        <f>C569</f>
        <v>0</v>
      </c>
      <c r="D570" s="239">
        <v>0</v>
      </c>
    </row>
    <row r="571" spans="1:4" ht="23.25">
      <c r="A571" s="232" t="s">
        <v>294</v>
      </c>
      <c r="B571" s="233" t="s">
        <v>295</v>
      </c>
      <c r="C571" s="234"/>
      <c r="D571" s="234"/>
    </row>
    <row r="572" spans="1:4" ht="23.25">
      <c r="A572" s="253" t="s">
        <v>296</v>
      </c>
      <c r="B572" s="238" t="s">
        <v>297</v>
      </c>
      <c r="C572" s="254">
        <v>40000</v>
      </c>
      <c r="D572" s="254">
        <v>5200</v>
      </c>
    </row>
    <row r="573" spans="1:4" ht="23.25">
      <c r="A573" s="253" t="s">
        <v>298</v>
      </c>
      <c r="B573" s="238" t="s">
        <v>299</v>
      </c>
      <c r="C573" s="254">
        <v>1000</v>
      </c>
      <c r="D573" s="254">
        <f>8169.4+100</f>
        <v>8269.4</v>
      </c>
    </row>
    <row r="574" spans="1:4" ht="23.25">
      <c r="A574" s="240" t="s">
        <v>46</v>
      </c>
      <c r="B574" s="240"/>
      <c r="C574" s="239">
        <f>SUM(C572:C573)</f>
        <v>41000</v>
      </c>
      <c r="D574" s="239">
        <f>SUM(D572:D573)</f>
        <v>13469.4</v>
      </c>
    </row>
    <row r="575" spans="1:4" ht="23.25">
      <c r="A575" s="280"/>
      <c r="B575" s="280"/>
      <c r="C575" s="281"/>
      <c r="D575" s="281"/>
    </row>
    <row r="576" spans="1:4" ht="23.25">
      <c r="A576" s="146"/>
      <c r="B576" s="146"/>
      <c r="C576" s="326"/>
      <c r="D576" s="326"/>
    </row>
    <row r="577" spans="1:4" ht="23.25">
      <c r="A577" s="210" t="s">
        <v>433</v>
      </c>
      <c r="B577" s="145"/>
      <c r="D577" s="145"/>
    </row>
    <row r="578" spans="1:4" ht="23.25">
      <c r="A578" s="210" t="s">
        <v>434</v>
      </c>
      <c r="B578" s="145"/>
      <c r="D578" s="145"/>
    </row>
    <row r="579" spans="1:4" ht="23.25">
      <c r="A579" s="210" t="s">
        <v>337</v>
      </c>
      <c r="B579" s="145"/>
      <c r="D579" s="145"/>
    </row>
    <row r="580" spans="1:4" ht="23.25">
      <c r="A580" s="210"/>
      <c r="B580" s="145"/>
      <c r="D580" s="145"/>
    </row>
    <row r="581" spans="1:2" ht="23.25">
      <c r="A581" s="210"/>
      <c r="B581" s="145">
        <v>-2</v>
      </c>
    </row>
    <row r="582" spans="1:4" ht="23.25">
      <c r="A582" s="255"/>
      <c r="B582" s="255" t="s">
        <v>30</v>
      </c>
      <c r="C582" s="322" t="s">
        <v>39</v>
      </c>
      <c r="D582" s="322" t="s">
        <v>270</v>
      </c>
    </row>
    <row r="583" spans="1:4" ht="23.25">
      <c r="A583" s="241" t="s">
        <v>300</v>
      </c>
      <c r="B583" s="242" t="s">
        <v>301</v>
      </c>
      <c r="C583" s="142"/>
      <c r="D583" s="143"/>
    </row>
    <row r="584" spans="1:4" ht="23.25">
      <c r="A584" s="232" t="s">
        <v>302</v>
      </c>
      <c r="B584" s="233" t="s">
        <v>303</v>
      </c>
      <c r="C584" s="234"/>
      <c r="D584" s="234"/>
    </row>
    <row r="585" spans="1:4" ht="23.25">
      <c r="A585" s="253" t="s">
        <v>304</v>
      </c>
      <c r="B585" s="238" t="s">
        <v>305</v>
      </c>
      <c r="C585" s="254">
        <v>160000</v>
      </c>
      <c r="D585" s="254">
        <v>248682.45</v>
      </c>
    </row>
    <row r="586" spans="1:4" ht="23.25">
      <c r="A586" s="253" t="s">
        <v>306</v>
      </c>
      <c r="B586" s="238" t="s">
        <v>307</v>
      </c>
      <c r="C586" s="254">
        <v>9140000</v>
      </c>
      <c r="D586" s="254">
        <v>6733481.32</v>
      </c>
    </row>
    <row r="587" spans="1:4" ht="23.25">
      <c r="A587" s="253" t="s">
        <v>308</v>
      </c>
      <c r="B587" s="238" t="s">
        <v>309</v>
      </c>
      <c r="C587" s="254">
        <v>1500000</v>
      </c>
      <c r="D587" s="254">
        <v>1148929.03</v>
      </c>
    </row>
    <row r="588" spans="1:4" ht="23.25">
      <c r="A588" s="253" t="s">
        <v>310</v>
      </c>
      <c r="B588" s="238" t="s">
        <v>311</v>
      </c>
      <c r="C588" s="254">
        <v>80000</v>
      </c>
      <c r="D588" s="254">
        <v>52592.5</v>
      </c>
    </row>
    <row r="589" spans="1:4" ht="23.25">
      <c r="A589" s="253" t="s">
        <v>312</v>
      </c>
      <c r="B589" s="238" t="s">
        <v>313</v>
      </c>
      <c r="C589" s="254">
        <v>700000</v>
      </c>
      <c r="D589" s="254">
        <v>542693.04</v>
      </c>
    </row>
    <row r="590" spans="1:4" ht="23.25">
      <c r="A590" s="253" t="s">
        <v>314</v>
      </c>
      <c r="B590" s="238" t="s">
        <v>315</v>
      </c>
      <c r="C590" s="254">
        <v>1200000</v>
      </c>
      <c r="D590" s="254">
        <v>1310603.42</v>
      </c>
    </row>
    <row r="591" spans="1:4" ht="23.25">
      <c r="A591" s="253" t="s">
        <v>316</v>
      </c>
      <c r="B591" s="238" t="s">
        <v>317</v>
      </c>
      <c r="C591" s="254">
        <v>30000</v>
      </c>
      <c r="D591" s="325">
        <v>34593.86</v>
      </c>
    </row>
    <row r="592" spans="1:4" ht="23.25">
      <c r="A592" s="253" t="s">
        <v>318</v>
      </c>
      <c r="B592" s="238" t="s">
        <v>319</v>
      </c>
      <c r="C592" s="254">
        <v>40000</v>
      </c>
      <c r="D592" s="254">
        <f>5473.67+5110.41+5935</f>
        <v>16519.08</v>
      </c>
    </row>
    <row r="593" spans="1:4" ht="23.25">
      <c r="A593" s="253" t="s">
        <v>320</v>
      </c>
      <c r="B593" s="238" t="s">
        <v>321</v>
      </c>
      <c r="C593" s="254">
        <v>300000</v>
      </c>
      <c r="D593" s="254">
        <v>314014</v>
      </c>
    </row>
    <row r="594" spans="1:4" ht="23.25">
      <c r="A594" s="253" t="s">
        <v>342</v>
      </c>
      <c r="B594" s="238" t="s">
        <v>343</v>
      </c>
      <c r="C594" s="254">
        <v>500</v>
      </c>
      <c r="D594" s="254">
        <v>0</v>
      </c>
    </row>
    <row r="595" spans="1:4" ht="23.25">
      <c r="A595" s="253"/>
      <c r="B595" s="238"/>
      <c r="C595" s="254"/>
      <c r="D595" s="327"/>
    </row>
    <row r="596" spans="1:4" ht="23.25">
      <c r="A596" s="237" t="s">
        <v>46</v>
      </c>
      <c r="B596" s="238"/>
      <c r="C596" s="239">
        <f>SUM(C585:C595)</f>
        <v>13150500</v>
      </c>
      <c r="D596" s="239">
        <f>SUM(D585:D595)</f>
        <v>10402108.7</v>
      </c>
    </row>
    <row r="597" spans="1:4" ht="23.25">
      <c r="A597" s="241" t="s">
        <v>322</v>
      </c>
      <c r="B597" s="242" t="s">
        <v>323</v>
      </c>
      <c r="C597" s="205"/>
      <c r="D597" s="205"/>
    </row>
    <row r="598" spans="1:4" ht="23.25">
      <c r="A598" s="243" t="s">
        <v>324</v>
      </c>
      <c r="B598" s="242" t="s">
        <v>325</v>
      </c>
      <c r="C598" s="205">
        <f>SUM(C599:C600)</f>
        <v>14304500</v>
      </c>
      <c r="D598" s="205">
        <v>8357000</v>
      </c>
    </row>
    <row r="599" spans="1:4" ht="23.25">
      <c r="A599" s="253" t="s">
        <v>326</v>
      </c>
      <c r="B599" s="238" t="s">
        <v>327</v>
      </c>
      <c r="C599" s="254">
        <v>14304500</v>
      </c>
      <c r="D599" s="325">
        <v>2663261</v>
      </c>
    </row>
    <row r="600" spans="1:4" ht="23.25">
      <c r="A600" s="13" t="s">
        <v>328</v>
      </c>
      <c r="B600" s="328"/>
      <c r="C600" s="142"/>
      <c r="D600" s="142"/>
    </row>
    <row r="601" spans="1:4" ht="23.25">
      <c r="A601" s="13" t="s">
        <v>404</v>
      </c>
      <c r="B601" s="328"/>
      <c r="C601" s="142"/>
      <c r="D601" s="142">
        <f>2131600+350400+12000+213900+100300+56528+147500+242398+506000+113640+243000+116409+70800+28264+6000+1065800+175200</f>
        <v>5579739</v>
      </c>
    </row>
    <row r="602" spans="1:4" ht="23.25">
      <c r="A602" s="237" t="s">
        <v>46</v>
      </c>
      <c r="B602" s="238"/>
      <c r="C602" s="239">
        <f>SUM(C599:C600)</f>
        <v>14304500</v>
      </c>
      <c r="D602" s="239">
        <f>SUM(D599:D601)</f>
        <v>8243000</v>
      </c>
    </row>
    <row r="603" spans="1:4" ht="23.25">
      <c r="A603" s="373" t="s">
        <v>329</v>
      </c>
      <c r="B603" s="374"/>
      <c r="C603" s="239">
        <f>SUM(C556+C565+C568+C570+C574+C596+C602)</f>
        <v>27650000</v>
      </c>
      <c r="D603" s="239">
        <f>SUM(D556+D565+D568+D570+D574+D596+D598)</f>
        <v>18883612.65</v>
      </c>
    </row>
    <row r="604" spans="2:4" ht="23.25">
      <c r="B604" s="145"/>
      <c r="C604" s="188"/>
      <c r="D604" s="188"/>
    </row>
    <row r="605" spans="2:4" ht="23.25">
      <c r="B605" s="145"/>
      <c r="C605" s="188"/>
      <c r="D605" s="188"/>
    </row>
    <row r="606" spans="1:4" ht="23.25">
      <c r="A606" s="210" t="s">
        <v>433</v>
      </c>
      <c r="B606" s="145"/>
      <c r="D606" s="145"/>
    </row>
    <row r="607" spans="1:4" ht="23.25">
      <c r="A607" s="210" t="s">
        <v>434</v>
      </c>
      <c r="B607" s="145"/>
      <c r="D607" s="145"/>
    </row>
    <row r="608" spans="1:4" ht="23.25">
      <c r="A608" s="210" t="s">
        <v>337</v>
      </c>
      <c r="B608" s="145"/>
      <c r="D608" s="145"/>
    </row>
    <row r="631" spans="1:4" ht="22.5" customHeight="1">
      <c r="A631" s="348" t="s">
        <v>330</v>
      </c>
      <c r="B631" s="348"/>
      <c r="C631" s="348"/>
      <c r="D631" s="348"/>
    </row>
    <row r="632" spans="1:4" ht="22.5" customHeight="1">
      <c r="A632" s="348" t="s">
        <v>268</v>
      </c>
      <c r="B632" s="348"/>
      <c r="C632" s="348"/>
      <c r="D632" s="348"/>
    </row>
    <row r="633" spans="1:4" ht="22.5" customHeight="1">
      <c r="A633" s="375" t="s">
        <v>595</v>
      </c>
      <c r="B633" s="375"/>
      <c r="C633" s="375"/>
      <c r="D633" s="375"/>
    </row>
    <row r="634" spans="1:4" ht="22.5" customHeight="1">
      <c r="A634" s="255"/>
      <c r="B634" s="255" t="s">
        <v>269</v>
      </c>
      <c r="C634" s="322" t="s">
        <v>39</v>
      </c>
      <c r="D634" s="322" t="s">
        <v>270</v>
      </c>
    </row>
    <row r="635" spans="1:4" ht="22.5" customHeight="1">
      <c r="A635" s="229" t="s">
        <v>271</v>
      </c>
      <c r="B635" s="230">
        <v>41000000</v>
      </c>
      <c r="C635" s="231"/>
      <c r="D635" s="231"/>
    </row>
    <row r="636" spans="1:4" ht="22.5" customHeight="1">
      <c r="A636" s="232" t="s">
        <v>272</v>
      </c>
      <c r="B636" s="233" t="s">
        <v>273</v>
      </c>
      <c r="C636" s="234"/>
      <c r="D636" s="235"/>
    </row>
    <row r="637" spans="1:4" ht="22.5" customHeight="1">
      <c r="A637" s="253" t="s">
        <v>274</v>
      </c>
      <c r="B637" s="238" t="s">
        <v>275</v>
      </c>
      <c r="C637" s="254">
        <v>17000</v>
      </c>
      <c r="D637" s="254">
        <v>27571</v>
      </c>
    </row>
    <row r="638" spans="1:4" ht="22.5" customHeight="1">
      <c r="A638" s="253" t="s">
        <v>276</v>
      </c>
      <c r="B638" s="238" t="s">
        <v>277</v>
      </c>
      <c r="C638" s="254">
        <v>40000</v>
      </c>
      <c r="D638" s="323">
        <v>43866.13</v>
      </c>
    </row>
    <row r="639" spans="1:4" ht="22.5" customHeight="1">
      <c r="A639" s="253" t="s">
        <v>278</v>
      </c>
      <c r="B639" s="238" t="s">
        <v>279</v>
      </c>
      <c r="C639" s="254">
        <v>1000</v>
      </c>
      <c r="D639" s="323">
        <v>2000</v>
      </c>
    </row>
    <row r="640" spans="1:4" ht="22.5" customHeight="1">
      <c r="A640" s="237" t="s">
        <v>46</v>
      </c>
      <c r="B640" s="238"/>
      <c r="C640" s="239">
        <f>SUM(C637:C639)</f>
        <v>58000</v>
      </c>
      <c r="D640" s="239">
        <f>SUM(D637:D639)</f>
        <v>73437.13</v>
      </c>
    </row>
    <row r="641" spans="1:4" ht="22.5" customHeight="1">
      <c r="A641" s="232" t="s">
        <v>280</v>
      </c>
      <c r="B641" s="233" t="s">
        <v>281</v>
      </c>
      <c r="C641" s="234"/>
      <c r="D641" s="234"/>
    </row>
    <row r="642" spans="1:4" ht="22.5" customHeight="1">
      <c r="A642" s="253" t="s">
        <v>333</v>
      </c>
      <c r="B642" s="238" t="s">
        <v>338</v>
      </c>
      <c r="C642" s="254">
        <v>3000</v>
      </c>
      <c r="D642" s="254">
        <v>8540</v>
      </c>
    </row>
    <row r="643" spans="1:4" ht="22.5" customHeight="1">
      <c r="A643" s="253" t="s">
        <v>334</v>
      </c>
      <c r="B643" s="238" t="s">
        <v>283</v>
      </c>
      <c r="C643" s="254">
        <v>500</v>
      </c>
      <c r="D643" s="254">
        <v>350</v>
      </c>
    </row>
    <row r="644" spans="1:4" ht="22.5" customHeight="1">
      <c r="A644" s="253" t="s">
        <v>335</v>
      </c>
      <c r="B644" s="238" t="s">
        <v>339</v>
      </c>
      <c r="C644" s="254">
        <v>500</v>
      </c>
      <c r="D644" s="254">
        <v>0</v>
      </c>
    </row>
    <row r="645" spans="1:4" ht="22.5" customHeight="1">
      <c r="A645" s="253" t="s">
        <v>284</v>
      </c>
      <c r="B645" s="324" t="s">
        <v>285</v>
      </c>
      <c r="C645" s="254">
        <v>1000</v>
      </c>
      <c r="D645" s="254">
        <v>15929</v>
      </c>
    </row>
    <row r="646" spans="1:4" ht="22.5" customHeight="1">
      <c r="A646" s="253" t="s">
        <v>286</v>
      </c>
      <c r="B646" s="238" t="s">
        <v>287</v>
      </c>
      <c r="C646" s="254">
        <v>20000</v>
      </c>
      <c r="D646" s="254">
        <v>900</v>
      </c>
    </row>
    <row r="647" spans="1:4" ht="22.5" customHeight="1">
      <c r="A647" s="253" t="s">
        <v>336</v>
      </c>
      <c r="B647" s="238" t="s">
        <v>282</v>
      </c>
      <c r="C647" s="254">
        <v>1000</v>
      </c>
      <c r="D647" s="254">
        <v>873</v>
      </c>
    </row>
    <row r="648" spans="1:4" ht="22.5" customHeight="1">
      <c r="A648" s="253"/>
      <c r="B648" s="238"/>
      <c r="C648" s="254"/>
      <c r="D648" s="254"/>
    </row>
    <row r="649" spans="1:4" ht="22.5" customHeight="1">
      <c r="A649" s="237" t="s">
        <v>46</v>
      </c>
      <c r="B649" s="238"/>
      <c r="C649" s="239">
        <f>SUM(C642:C647)</f>
        <v>26000</v>
      </c>
      <c r="D649" s="239">
        <f>SUM(D642:D647)</f>
        <v>26592</v>
      </c>
    </row>
    <row r="650" spans="1:4" ht="22.5" customHeight="1">
      <c r="A650" s="232" t="s">
        <v>288</v>
      </c>
      <c r="B650" s="233" t="s">
        <v>289</v>
      </c>
      <c r="C650" s="234"/>
      <c r="D650" s="234"/>
    </row>
    <row r="651" spans="1:4" ht="22.5" customHeight="1">
      <c r="A651" s="253" t="s">
        <v>290</v>
      </c>
      <c r="B651" s="238" t="s">
        <v>291</v>
      </c>
      <c r="C651" s="254">
        <v>70000</v>
      </c>
      <c r="D651" s="325">
        <v>23672.04</v>
      </c>
    </row>
    <row r="652" spans="1:4" ht="22.5" customHeight="1">
      <c r="A652" s="237" t="s">
        <v>46</v>
      </c>
      <c r="B652" s="238"/>
      <c r="C652" s="239">
        <f>SUM(C651:C651)</f>
        <v>70000</v>
      </c>
      <c r="D652" s="239">
        <f>SUM(D651:D651)</f>
        <v>23672.04</v>
      </c>
    </row>
    <row r="653" spans="1:4" ht="22.5" customHeight="1">
      <c r="A653" s="232" t="s">
        <v>292</v>
      </c>
      <c r="B653" s="233" t="s">
        <v>293</v>
      </c>
      <c r="C653" s="234">
        <v>0</v>
      </c>
      <c r="D653" s="234"/>
    </row>
    <row r="654" spans="1:4" ht="22.5" customHeight="1">
      <c r="A654" s="237" t="s">
        <v>46</v>
      </c>
      <c r="B654" s="238"/>
      <c r="C654" s="239">
        <f>C653</f>
        <v>0</v>
      </c>
      <c r="D654" s="239">
        <v>0</v>
      </c>
    </row>
    <row r="655" spans="1:4" ht="22.5" customHeight="1">
      <c r="A655" s="232" t="s">
        <v>294</v>
      </c>
      <c r="B655" s="233" t="s">
        <v>295</v>
      </c>
      <c r="C655" s="234"/>
      <c r="D655" s="234"/>
    </row>
    <row r="656" spans="1:4" ht="22.5" customHeight="1">
      <c r="A656" s="253" t="s">
        <v>296</v>
      </c>
      <c r="B656" s="238" t="s">
        <v>297</v>
      </c>
      <c r="C656" s="254">
        <v>40000</v>
      </c>
      <c r="D656" s="254">
        <v>5200</v>
      </c>
    </row>
    <row r="657" spans="1:4" ht="22.5" customHeight="1">
      <c r="A657" s="253" t="s">
        <v>298</v>
      </c>
      <c r="B657" s="238" t="s">
        <v>299</v>
      </c>
      <c r="C657" s="254">
        <v>1000</v>
      </c>
      <c r="D657" s="254">
        <f>8169.4+100</f>
        <v>8269.4</v>
      </c>
    </row>
    <row r="658" spans="1:4" ht="22.5" customHeight="1">
      <c r="A658" s="240" t="s">
        <v>46</v>
      </c>
      <c r="B658" s="240"/>
      <c r="C658" s="239">
        <f>SUM(C656:C657)</f>
        <v>41000</v>
      </c>
      <c r="D658" s="239">
        <f>SUM(D656:D657)</f>
        <v>13469.4</v>
      </c>
    </row>
    <row r="659" spans="1:4" ht="22.5" customHeight="1">
      <c r="A659" s="280"/>
      <c r="B659" s="280"/>
      <c r="C659" s="281"/>
      <c r="D659" s="281"/>
    </row>
    <row r="660" spans="1:4" ht="22.5" customHeight="1">
      <c r="A660" s="146"/>
      <c r="B660" s="146"/>
      <c r="C660" s="326"/>
      <c r="D660" s="326"/>
    </row>
    <row r="661" spans="1:4" ht="22.5" customHeight="1">
      <c r="A661" s="210" t="s">
        <v>596</v>
      </c>
      <c r="B661" s="145"/>
      <c r="D661" s="145"/>
    </row>
    <row r="662" spans="1:4" ht="22.5" customHeight="1">
      <c r="A662" s="210" t="s">
        <v>597</v>
      </c>
      <c r="B662" s="145"/>
      <c r="D662" s="145"/>
    </row>
    <row r="663" spans="1:4" ht="22.5" customHeight="1">
      <c r="A663" s="210" t="s">
        <v>337</v>
      </c>
      <c r="B663" s="145"/>
      <c r="D663" s="145"/>
    </row>
    <row r="664" spans="1:4" ht="22.5" customHeight="1">
      <c r="A664" s="210"/>
      <c r="B664" s="145"/>
      <c r="D664" s="145"/>
    </row>
    <row r="665" spans="1:4" ht="22.5" customHeight="1">
      <c r="A665" s="210"/>
      <c r="B665" s="145"/>
      <c r="D665" s="145"/>
    </row>
    <row r="666" spans="1:4" ht="22.5" customHeight="1">
      <c r="A666" s="210"/>
      <c r="B666" s="145"/>
      <c r="D666" s="145"/>
    </row>
    <row r="667" spans="1:2" ht="22.5" customHeight="1">
      <c r="A667" s="210"/>
      <c r="B667" s="145">
        <v>-2</v>
      </c>
    </row>
    <row r="668" spans="1:4" ht="22.5" customHeight="1">
      <c r="A668" s="255"/>
      <c r="B668" s="255" t="s">
        <v>30</v>
      </c>
      <c r="C668" s="322" t="s">
        <v>39</v>
      </c>
      <c r="D668" s="322" t="s">
        <v>270</v>
      </c>
    </row>
    <row r="669" spans="1:4" ht="22.5" customHeight="1">
      <c r="A669" s="241" t="s">
        <v>300</v>
      </c>
      <c r="B669" s="242" t="s">
        <v>301</v>
      </c>
      <c r="C669" s="142"/>
      <c r="D669" s="143"/>
    </row>
    <row r="670" spans="1:4" ht="22.5" customHeight="1">
      <c r="A670" s="232" t="s">
        <v>302</v>
      </c>
      <c r="B670" s="233" t="s">
        <v>303</v>
      </c>
      <c r="C670" s="234"/>
      <c r="D670" s="234"/>
    </row>
    <row r="671" spans="1:4" ht="22.5" customHeight="1">
      <c r="A671" s="253" t="s">
        <v>304</v>
      </c>
      <c r="B671" s="238" t="s">
        <v>305</v>
      </c>
      <c r="C671" s="254">
        <v>160000</v>
      </c>
      <c r="D671" s="254">
        <v>356970.91</v>
      </c>
    </row>
    <row r="672" spans="1:4" ht="22.5" customHeight="1">
      <c r="A672" s="253" t="s">
        <v>306</v>
      </c>
      <c r="B672" s="238" t="s">
        <v>307</v>
      </c>
      <c r="C672" s="254">
        <v>9140000</v>
      </c>
      <c r="D672" s="254">
        <v>7608288.1</v>
      </c>
    </row>
    <row r="673" spans="1:4" ht="22.5" customHeight="1">
      <c r="A673" s="253" t="s">
        <v>308</v>
      </c>
      <c r="B673" s="238" t="s">
        <v>309</v>
      </c>
      <c r="C673" s="254">
        <v>1500000</v>
      </c>
      <c r="D673" s="254">
        <v>1383416.6</v>
      </c>
    </row>
    <row r="674" spans="1:4" ht="22.5" customHeight="1">
      <c r="A674" s="253" t="s">
        <v>310</v>
      </c>
      <c r="B674" s="238" t="s">
        <v>311</v>
      </c>
      <c r="C674" s="254">
        <v>80000</v>
      </c>
      <c r="D674" s="254">
        <v>66902.92</v>
      </c>
    </row>
    <row r="675" spans="1:4" ht="22.5" customHeight="1">
      <c r="A675" s="253" t="s">
        <v>312</v>
      </c>
      <c r="B675" s="238" t="s">
        <v>313</v>
      </c>
      <c r="C675" s="254">
        <v>700000</v>
      </c>
      <c r="D675" s="254">
        <v>664773.29</v>
      </c>
    </row>
    <row r="676" spans="1:4" ht="22.5" customHeight="1">
      <c r="A676" s="253" t="s">
        <v>314</v>
      </c>
      <c r="B676" s="238" t="s">
        <v>315</v>
      </c>
      <c r="C676" s="254">
        <v>1200000</v>
      </c>
      <c r="D676" s="254">
        <v>1620105.38</v>
      </c>
    </row>
    <row r="677" spans="1:4" ht="22.5" customHeight="1">
      <c r="A677" s="253" t="s">
        <v>316</v>
      </c>
      <c r="B677" s="238" t="s">
        <v>317</v>
      </c>
      <c r="C677" s="254">
        <v>30000</v>
      </c>
      <c r="D677" s="325">
        <v>34593.86</v>
      </c>
    </row>
    <row r="678" spans="1:4" ht="22.5" customHeight="1">
      <c r="A678" s="253" t="s">
        <v>318</v>
      </c>
      <c r="B678" s="238" t="s">
        <v>319</v>
      </c>
      <c r="C678" s="254">
        <v>40000</v>
      </c>
      <c r="D678" s="254">
        <v>22913.35</v>
      </c>
    </row>
    <row r="679" spans="1:4" ht="22.5" customHeight="1">
      <c r="A679" s="253" t="s">
        <v>320</v>
      </c>
      <c r="B679" s="238" t="s">
        <v>321</v>
      </c>
      <c r="C679" s="254">
        <v>300000</v>
      </c>
      <c r="D679" s="254">
        <v>344495</v>
      </c>
    </row>
    <row r="680" spans="1:4" ht="22.5" customHeight="1">
      <c r="A680" s="253" t="s">
        <v>342</v>
      </c>
      <c r="B680" s="238" t="s">
        <v>343</v>
      </c>
      <c r="C680" s="254">
        <v>500</v>
      </c>
      <c r="D680" s="254">
        <v>0</v>
      </c>
    </row>
    <row r="681" spans="1:4" ht="22.5" customHeight="1">
      <c r="A681" s="253"/>
      <c r="B681" s="238"/>
      <c r="C681" s="254"/>
      <c r="D681" s="327"/>
    </row>
    <row r="682" spans="1:4" ht="22.5" customHeight="1">
      <c r="A682" s="237" t="s">
        <v>46</v>
      </c>
      <c r="B682" s="238"/>
      <c r="C682" s="239">
        <f>SUM(C671:C681)</f>
        <v>13150500</v>
      </c>
      <c r="D682" s="239">
        <f>SUM(D671:D681)</f>
        <v>12102459.409999998</v>
      </c>
    </row>
    <row r="683" spans="1:4" ht="22.5" customHeight="1">
      <c r="A683" s="241" t="s">
        <v>322</v>
      </c>
      <c r="B683" s="242" t="s">
        <v>323</v>
      </c>
      <c r="C683" s="205"/>
      <c r="D683" s="205"/>
    </row>
    <row r="684" spans="1:4" ht="22.5" customHeight="1">
      <c r="A684" s="243" t="s">
        <v>324</v>
      </c>
      <c r="B684" s="242" t="s">
        <v>325</v>
      </c>
      <c r="C684" s="205">
        <f>SUM(C685:C686)</f>
        <v>14304500</v>
      </c>
      <c r="D684" s="205">
        <f>D685+D687</f>
        <v>10085025</v>
      </c>
    </row>
    <row r="685" spans="1:4" ht="22.5" customHeight="1">
      <c r="A685" s="253" t="s">
        <v>326</v>
      </c>
      <c r="B685" s="238" t="s">
        <v>327</v>
      </c>
      <c r="C685" s="254">
        <v>14304500</v>
      </c>
      <c r="D685" s="325">
        <v>2663261</v>
      </c>
    </row>
    <row r="686" spans="1:4" ht="22.5" customHeight="1">
      <c r="A686" s="13" t="s">
        <v>328</v>
      </c>
      <c r="B686" s="328"/>
      <c r="C686" s="142"/>
      <c r="D686" s="142"/>
    </row>
    <row r="687" spans="1:4" ht="22.5" customHeight="1">
      <c r="A687" s="13" t="s">
        <v>404</v>
      </c>
      <c r="B687" s="328"/>
      <c r="C687" s="142"/>
      <c r="D687" s="142">
        <v>7421764</v>
      </c>
    </row>
    <row r="688" spans="1:4" ht="22.5" customHeight="1">
      <c r="A688" s="237" t="s">
        <v>46</v>
      </c>
      <c r="B688" s="238"/>
      <c r="C688" s="239">
        <f>SUM(C685:C686)</f>
        <v>14304500</v>
      </c>
      <c r="D688" s="239">
        <f>SUM(D685:D687)</f>
        <v>10085025</v>
      </c>
    </row>
    <row r="689" spans="1:4" ht="22.5" customHeight="1">
      <c r="A689" s="373" t="s">
        <v>329</v>
      </c>
      <c r="B689" s="374"/>
      <c r="C689" s="239">
        <f>SUM(C640+C649+C652+C654+C658+C682+C688)</f>
        <v>27650000</v>
      </c>
      <c r="D689" s="239">
        <f>SUM(D640+D649+D652+D654+D658+D682+D684)</f>
        <v>22324654.979999997</v>
      </c>
    </row>
    <row r="690" spans="2:4" ht="22.5" customHeight="1">
      <c r="B690" s="145"/>
      <c r="C690" s="188"/>
      <c r="D690" s="188"/>
    </row>
    <row r="691" spans="2:4" ht="22.5" customHeight="1">
      <c r="B691" s="145"/>
      <c r="C691" s="188"/>
      <c r="D691" s="188"/>
    </row>
    <row r="692" spans="1:4" ht="22.5" customHeight="1">
      <c r="A692" s="210" t="s">
        <v>596</v>
      </c>
      <c r="B692" s="145"/>
      <c r="D692" s="145"/>
    </row>
    <row r="693" spans="1:4" ht="22.5" customHeight="1">
      <c r="A693" s="210" t="s">
        <v>597</v>
      </c>
      <c r="B693" s="145"/>
      <c r="D693" s="145"/>
    </row>
    <row r="694" spans="1:4" ht="22.5" customHeight="1">
      <c r="A694" s="210" t="s">
        <v>337</v>
      </c>
      <c r="B694" s="145"/>
      <c r="D694" s="145"/>
    </row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</sheetData>
  <sheetProtection/>
  <mergeCells count="40">
    <mergeCell ref="A631:D631"/>
    <mergeCell ref="A632:D632"/>
    <mergeCell ref="A633:D633"/>
    <mergeCell ref="A689:B689"/>
    <mergeCell ref="A409:D409"/>
    <mergeCell ref="A410:D410"/>
    <mergeCell ref="A411:D411"/>
    <mergeCell ref="A465:B465"/>
    <mergeCell ref="A547:D547"/>
    <mergeCell ref="A548:D548"/>
    <mergeCell ref="A274:D274"/>
    <mergeCell ref="A275:D275"/>
    <mergeCell ref="A276:D276"/>
    <mergeCell ref="A329:B329"/>
    <mergeCell ref="A341:D341"/>
    <mergeCell ref="A342:D342"/>
    <mergeCell ref="A205:D205"/>
    <mergeCell ref="A206:D206"/>
    <mergeCell ref="A207:D207"/>
    <mergeCell ref="A262:B262"/>
    <mergeCell ref="A69:D69"/>
    <mergeCell ref="A70:D70"/>
    <mergeCell ref="A71:D71"/>
    <mergeCell ref="A124:B124"/>
    <mergeCell ref="A137:D137"/>
    <mergeCell ref="A138:D138"/>
    <mergeCell ref="A1:D1"/>
    <mergeCell ref="A2:D2"/>
    <mergeCell ref="A3:D3"/>
    <mergeCell ref="A56:B56"/>
    <mergeCell ref="A139:D139"/>
    <mergeCell ref="A194:B194"/>
    <mergeCell ref="A549:D549"/>
    <mergeCell ref="A603:B603"/>
    <mergeCell ref="A343:D343"/>
    <mergeCell ref="A397:B397"/>
    <mergeCell ref="A477:D477"/>
    <mergeCell ref="A478:D478"/>
    <mergeCell ref="A479:D479"/>
    <mergeCell ref="A533:B533"/>
  </mergeCells>
  <printOptions/>
  <pageMargins left="0.53" right="0" top="0.51" bottom="0.3937007874015748" header="0" footer="0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="106" zoomScaleSheetLayoutView="106" zoomScalePageLayoutView="0" workbookViewId="0" topLeftCell="A111">
      <selection activeCell="H126" sqref="H126"/>
    </sheetView>
  </sheetViews>
  <sheetFormatPr defaultColWidth="9.140625" defaultRowHeight="26.25" customHeight="1"/>
  <cols>
    <col min="1" max="1" width="8.00390625" style="19" customWidth="1"/>
    <col min="2" max="2" width="17.00390625" style="19" customWidth="1"/>
    <col min="3" max="3" width="8.00390625" style="19" customWidth="1"/>
    <col min="4" max="4" width="10.57421875" style="19" bestFit="1" customWidth="1"/>
    <col min="5" max="5" width="7.8515625" style="19" customWidth="1"/>
    <col min="6" max="6" width="5.57421875" style="19" customWidth="1"/>
    <col min="7" max="7" width="13.7109375" style="19" customWidth="1"/>
    <col min="8" max="8" width="6.421875" style="19" customWidth="1"/>
    <col min="9" max="9" width="19.140625" style="19" customWidth="1"/>
    <col min="10" max="10" width="6.421875" style="19" customWidth="1"/>
    <col min="11" max="11" width="14.421875" style="19" customWidth="1"/>
    <col min="12" max="12" width="27.28125" style="19" customWidth="1"/>
    <col min="13" max="13" width="9.140625" style="19" customWidth="1"/>
    <col min="14" max="14" width="19.28125" style="19" customWidth="1"/>
    <col min="15" max="16384" width="9.140625" style="19" customWidth="1"/>
  </cols>
  <sheetData>
    <row r="1" spans="1:10" ht="26.25" customHeight="1">
      <c r="A1" s="112" t="s">
        <v>132</v>
      </c>
      <c r="B1" s="113"/>
      <c r="C1" s="113"/>
      <c r="D1" s="113"/>
      <c r="E1" s="114"/>
      <c r="F1" s="112"/>
      <c r="G1" s="113"/>
      <c r="H1" s="113"/>
      <c r="I1" s="113"/>
      <c r="J1" s="114"/>
    </row>
    <row r="2" spans="1:10" ht="26.25" customHeight="1">
      <c r="A2" s="71"/>
      <c r="B2" s="109"/>
      <c r="C2" s="109"/>
      <c r="D2" s="109"/>
      <c r="E2" s="101"/>
      <c r="F2" s="71"/>
      <c r="G2" s="115" t="s">
        <v>75</v>
      </c>
      <c r="H2" s="115"/>
      <c r="I2" s="109"/>
      <c r="J2" s="101"/>
    </row>
    <row r="3" spans="1:10" ht="26.25" customHeight="1">
      <c r="A3" s="116" t="s">
        <v>65</v>
      </c>
      <c r="B3" s="109"/>
      <c r="C3" s="109"/>
      <c r="D3" s="109"/>
      <c r="E3" s="101"/>
      <c r="F3" s="71"/>
      <c r="G3" s="115"/>
      <c r="H3" s="115"/>
      <c r="I3" s="109"/>
      <c r="J3" s="101"/>
    </row>
    <row r="4" spans="1:10" ht="26.25" customHeight="1">
      <c r="A4" s="98"/>
      <c r="B4" s="99"/>
      <c r="C4" s="99"/>
      <c r="D4" s="99"/>
      <c r="E4" s="117"/>
      <c r="F4" s="98"/>
      <c r="G4" s="118" t="s">
        <v>130</v>
      </c>
      <c r="H4" s="118"/>
      <c r="I4" s="99"/>
      <c r="J4" s="117"/>
    </row>
    <row r="5" spans="1:10" ht="26.25" customHeight="1">
      <c r="A5" s="119" t="s">
        <v>435</v>
      </c>
      <c r="B5" s="109"/>
      <c r="C5" s="109"/>
      <c r="D5" s="109"/>
      <c r="E5" s="109"/>
      <c r="F5" s="109"/>
      <c r="G5" s="109"/>
      <c r="H5" s="109"/>
      <c r="I5" s="120">
        <v>10208102.3</v>
      </c>
      <c r="J5" s="101" t="s">
        <v>40</v>
      </c>
    </row>
    <row r="6" spans="1:12" ht="26.25" customHeight="1">
      <c r="A6" s="119" t="s">
        <v>420</v>
      </c>
      <c r="B6" s="109"/>
      <c r="C6" s="109"/>
      <c r="D6" s="109"/>
      <c r="E6" s="109"/>
      <c r="F6" s="109"/>
      <c r="G6" s="109"/>
      <c r="H6" s="109"/>
      <c r="I6" s="71"/>
      <c r="J6" s="101"/>
      <c r="L6" s="19">
        <v>10195302.3</v>
      </c>
    </row>
    <row r="7" spans="1:12" ht="26.25" customHeight="1">
      <c r="A7" s="71"/>
      <c r="B7" s="121" t="s">
        <v>66</v>
      </c>
      <c r="C7" s="115"/>
      <c r="D7" s="121" t="s">
        <v>67</v>
      </c>
      <c r="E7" s="121"/>
      <c r="F7" s="121" t="s">
        <v>68</v>
      </c>
      <c r="G7" s="121"/>
      <c r="H7" s="121"/>
      <c r="I7" s="71"/>
      <c r="J7" s="101"/>
      <c r="L7" s="51">
        <f>I5-L6</f>
        <v>12800</v>
      </c>
    </row>
    <row r="8" spans="1:10" ht="26.25" customHeight="1">
      <c r="A8" s="122"/>
      <c r="B8" s="123"/>
      <c r="C8" s="109"/>
      <c r="D8" s="123"/>
      <c r="E8" s="123"/>
      <c r="F8" s="109"/>
      <c r="G8" s="124"/>
      <c r="H8" s="109"/>
      <c r="I8" s="125"/>
      <c r="J8" s="101"/>
    </row>
    <row r="9" spans="1:14" ht="26.25" customHeight="1">
      <c r="A9" s="119" t="s">
        <v>178</v>
      </c>
      <c r="B9" s="109"/>
      <c r="C9" s="109"/>
      <c r="D9" s="109"/>
      <c r="E9" s="109"/>
      <c r="F9" s="109"/>
      <c r="G9" s="109"/>
      <c r="H9" s="109"/>
      <c r="I9" s="71"/>
      <c r="J9" s="101"/>
      <c r="L9" s="51">
        <f>งบทดลอง!F459</f>
        <v>11781765.18</v>
      </c>
      <c r="N9" s="51">
        <f>I5-L9</f>
        <v>-1573662.879999999</v>
      </c>
    </row>
    <row r="10" spans="1:10" ht="26.25" customHeight="1">
      <c r="A10" s="71"/>
      <c r="B10" s="121" t="s">
        <v>69</v>
      </c>
      <c r="C10" s="109"/>
      <c r="D10" s="121" t="s">
        <v>70</v>
      </c>
      <c r="E10" s="121"/>
      <c r="F10" s="126" t="s">
        <v>68</v>
      </c>
      <c r="G10" s="126"/>
      <c r="H10" s="121"/>
      <c r="I10" s="71"/>
      <c r="J10" s="101"/>
    </row>
    <row r="11" spans="1:12" ht="26.25" customHeight="1">
      <c r="A11" s="71"/>
      <c r="B11" s="127" t="s">
        <v>436</v>
      </c>
      <c r="D11" s="141" t="s">
        <v>437</v>
      </c>
      <c r="E11" s="141"/>
      <c r="G11" s="128">
        <v>2000</v>
      </c>
      <c r="H11" s="121"/>
      <c r="I11" s="129"/>
      <c r="J11" s="101"/>
      <c r="L11" s="19">
        <v>1581676.19</v>
      </c>
    </row>
    <row r="12" spans="1:12" ht="26.25" customHeight="1">
      <c r="A12" s="71"/>
      <c r="B12" s="127" t="s">
        <v>436</v>
      </c>
      <c r="C12" s="109"/>
      <c r="D12" s="141" t="s">
        <v>438</v>
      </c>
      <c r="E12" s="141"/>
      <c r="F12" s="121"/>
      <c r="G12" s="130">
        <v>3000</v>
      </c>
      <c r="H12" s="121"/>
      <c r="I12" s="129"/>
      <c r="J12" s="101"/>
      <c r="L12" s="51">
        <f>L11-I8</f>
        <v>1581676.19</v>
      </c>
    </row>
    <row r="13" spans="1:10" ht="26.25" customHeight="1">
      <c r="A13" s="71"/>
      <c r="B13" s="127" t="s">
        <v>436</v>
      </c>
      <c r="C13" s="109"/>
      <c r="D13" s="141" t="s">
        <v>439</v>
      </c>
      <c r="E13" s="141"/>
      <c r="F13" s="121"/>
      <c r="G13" s="130">
        <v>7800</v>
      </c>
      <c r="H13" s="121"/>
      <c r="I13" s="129"/>
      <c r="J13" s="101"/>
    </row>
    <row r="14" spans="1:10" ht="26.25" customHeight="1">
      <c r="A14" s="71"/>
      <c r="B14" s="127"/>
      <c r="C14" s="109"/>
      <c r="D14" s="141"/>
      <c r="E14" s="141"/>
      <c r="F14" s="121"/>
      <c r="G14" s="130"/>
      <c r="H14" s="121"/>
      <c r="I14" s="129"/>
      <c r="J14" s="101"/>
    </row>
    <row r="15" spans="1:10" ht="26.25" customHeight="1">
      <c r="A15" s="71"/>
      <c r="B15" s="127"/>
      <c r="C15" s="109"/>
      <c r="D15" s="141"/>
      <c r="E15" s="141"/>
      <c r="F15" s="121"/>
      <c r="G15" s="130"/>
      <c r="H15" s="121"/>
      <c r="I15" s="129"/>
      <c r="J15" s="101"/>
    </row>
    <row r="16" spans="1:10" ht="26.25" customHeight="1">
      <c r="A16" s="71"/>
      <c r="B16" s="127"/>
      <c r="C16" s="109"/>
      <c r="D16" s="141"/>
      <c r="E16" s="141"/>
      <c r="F16" s="121"/>
      <c r="G16" s="124"/>
      <c r="H16" s="121"/>
      <c r="I16" s="129"/>
      <c r="J16" s="101"/>
    </row>
    <row r="17" spans="1:10" ht="26.25" customHeight="1">
      <c r="A17" s="71"/>
      <c r="B17" s="127"/>
      <c r="D17" s="141"/>
      <c r="E17" s="141"/>
      <c r="G17" s="128"/>
      <c r="H17" s="121"/>
      <c r="I17" s="71"/>
      <c r="J17" s="101"/>
    </row>
    <row r="18" spans="1:10" ht="26.25" customHeight="1">
      <c r="A18" s="71"/>
      <c r="B18" s="127"/>
      <c r="D18" s="141"/>
      <c r="E18" s="141"/>
      <c r="G18" s="128"/>
      <c r="H18" s="121"/>
      <c r="I18" s="71"/>
      <c r="J18" s="101"/>
    </row>
    <row r="19" spans="1:12" ht="26.25" customHeight="1">
      <c r="A19" s="71"/>
      <c r="B19" s="127"/>
      <c r="D19" s="141"/>
      <c r="E19" s="141"/>
      <c r="G19" s="128"/>
      <c r="H19" s="121"/>
      <c r="I19" s="71"/>
      <c r="J19" s="101"/>
      <c r="L19" s="51">
        <f>I27-L9</f>
        <v>-1586462.879999999</v>
      </c>
    </row>
    <row r="20" spans="1:10" ht="26.25" customHeight="1">
      <c r="A20" s="71"/>
      <c r="B20" s="127"/>
      <c r="D20" s="141"/>
      <c r="E20" s="141"/>
      <c r="G20" s="128"/>
      <c r="H20" s="121"/>
      <c r="I20" s="71"/>
      <c r="J20" s="101"/>
    </row>
    <row r="21" spans="1:10" ht="26.25" customHeight="1">
      <c r="A21" s="71"/>
      <c r="B21" s="127"/>
      <c r="D21" s="141"/>
      <c r="E21" s="141"/>
      <c r="G21" s="128"/>
      <c r="H21" s="121"/>
      <c r="I21" s="71"/>
      <c r="J21" s="101"/>
    </row>
    <row r="22" spans="1:10" ht="26.25" customHeight="1">
      <c r="A22" s="71"/>
      <c r="B22" s="127"/>
      <c r="C22" s="109"/>
      <c r="D22" s="141"/>
      <c r="E22" s="141"/>
      <c r="F22" s="121"/>
      <c r="G22" s="131"/>
      <c r="H22" s="124"/>
      <c r="I22" s="132"/>
      <c r="J22" s="133"/>
    </row>
    <row r="23" spans="1:10" ht="26.25" customHeight="1" thickBot="1">
      <c r="A23" s="71"/>
      <c r="B23" s="127"/>
      <c r="C23" s="109"/>
      <c r="D23" s="144"/>
      <c r="E23" s="144"/>
      <c r="F23" s="121"/>
      <c r="G23" s="134">
        <f>SUM(G11:G22)</f>
        <v>12800</v>
      </c>
      <c r="H23" s="109"/>
      <c r="I23" s="135">
        <f>G23</f>
        <v>12800</v>
      </c>
      <c r="J23" s="101" t="s">
        <v>40</v>
      </c>
    </row>
    <row r="24" spans="1:10" ht="26.25" customHeight="1" thickTop="1">
      <c r="A24" s="119" t="s">
        <v>71</v>
      </c>
      <c r="B24" s="109"/>
      <c r="C24" s="109"/>
      <c r="D24" s="109"/>
      <c r="E24" s="109"/>
      <c r="F24" s="109"/>
      <c r="G24" s="109"/>
      <c r="H24" s="109"/>
      <c r="I24" s="71"/>
      <c r="J24" s="101"/>
    </row>
    <row r="25" spans="1:10" ht="26.25" customHeight="1">
      <c r="A25" s="71"/>
      <c r="B25" s="136" t="s">
        <v>64</v>
      </c>
      <c r="C25" s="126" t="s">
        <v>69</v>
      </c>
      <c r="D25" s="109"/>
      <c r="E25" s="136" t="s">
        <v>8</v>
      </c>
      <c r="F25" s="109"/>
      <c r="G25" s="126" t="s">
        <v>68</v>
      </c>
      <c r="H25" s="137"/>
      <c r="I25" s="71"/>
      <c r="J25" s="101"/>
    </row>
    <row r="26" spans="1:10" ht="26.25" customHeight="1" thickBot="1">
      <c r="A26" s="71"/>
      <c r="B26" s="123"/>
      <c r="C26" s="109"/>
      <c r="D26" s="123"/>
      <c r="E26" s="123"/>
      <c r="F26" s="109"/>
      <c r="G26" s="124"/>
      <c r="H26" s="109"/>
      <c r="I26" s="135"/>
      <c r="J26" s="101" t="s">
        <v>40</v>
      </c>
    </row>
    <row r="27" spans="1:10" ht="26.25" customHeight="1" thickBot="1" thickTop="1">
      <c r="A27" s="119" t="s">
        <v>442</v>
      </c>
      <c r="B27" s="115"/>
      <c r="C27" s="138"/>
      <c r="D27" s="138"/>
      <c r="E27" s="115"/>
      <c r="F27" s="109"/>
      <c r="G27" s="109"/>
      <c r="H27" s="109"/>
      <c r="I27" s="135">
        <f>I5-I8-I23+I26</f>
        <v>10195302.3</v>
      </c>
      <c r="J27" s="101" t="s">
        <v>40</v>
      </c>
    </row>
    <row r="28" spans="1:10" ht="26.25" customHeight="1" thickTop="1">
      <c r="A28" s="139" t="s">
        <v>72</v>
      </c>
      <c r="B28" s="113"/>
      <c r="C28" s="113"/>
      <c r="D28" s="113"/>
      <c r="E28" s="114"/>
      <c r="F28" s="112"/>
      <c r="G28" s="140" t="s">
        <v>74</v>
      </c>
      <c r="H28" s="113"/>
      <c r="I28" s="113"/>
      <c r="J28" s="114"/>
    </row>
    <row r="29" spans="1:10" ht="26.25" customHeight="1">
      <c r="A29" s="71"/>
      <c r="B29" s="109"/>
      <c r="C29" s="109"/>
      <c r="D29" s="109"/>
      <c r="E29" s="101"/>
      <c r="F29" s="71"/>
      <c r="G29" s="109"/>
      <c r="H29" s="109"/>
      <c r="I29" s="109"/>
      <c r="J29" s="101"/>
    </row>
    <row r="30" spans="1:10" ht="26.25" customHeight="1">
      <c r="A30" s="71" t="s">
        <v>55</v>
      </c>
      <c r="B30" s="109"/>
      <c r="C30" s="109" t="s">
        <v>443</v>
      </c>
      <c r="D30" s="109"/>
      <c r="E30" s="109"/>
      <c r="F30" s="71"/>
      <c r="G30" s="109" t="s">
        <v>55</v>
      </c>
      <c r="H30" s="109"/>
      <c r="I30" s="109" t="s">
        <v>443</v>
      </c>
      <c r="J30" s="101"/>
    </row>
    <row r="31" spans="1:10" ht="26.25" customHeight="1">
      <c r="A31" s="71" t="s">
        <v>419</v>
      </c>
      <c r="B31" s="109"/>
      <c r="C31" s="109"/>
      <c r="D31" s="109"/>
      <c r="E31" s="109"/>
      <c r="F31" s="71"/>
      <c r="G31" s="109" t="s">
        <v>440</v>
      </c>
      <c r="H31" s="109"/>
      <c r="I31" s="109"/>
      <c r="J31" s="101"/>
    </row>
    <row r="32" spans="1:10" ht="26.25" customHeight="1">
      <c r="A32" s="98" t="s">
        <v>73</v>
      </c>
      <c r="B32" s="99" t="s">
        <v>129</v>
      </c>
      <c r="C32" s="99"/>
      <c r="D32" s="99"/>
      <c r="E32" s="99"/>
      <c r="F32" s="98" t="s">
        <v>441</v>
      </c>
      <c r="G32" s="99"/>
      <c r="H32" s="99"/>
      <c r="I32" s="99"/>
      <c r="J32" s="117"/>
    </row>
    <row r="33" spans="1:10" ht="26.25" customHeight="1">
      <c r="A33" s="112" t="s">
        <v>132</v>
      </c>
      <c r="B33" s="113"/>
      <c r="C33" s="113"/>
      <c r="D33" s="113"/>
      <c r="E33" s="114"/>
      <c r="F33" s="112"/>
      <c r="G33" s="113"/>
      <c r="H33" s="113"/>
      <c r="I33" s="113"/>
      <c r="J33" s="114"/>
    </row>
    <row r="34" spans="1:10" ht="26.25" customHeight="1">
      <c r="A34" s="71"/>
      <c r="B34" s="109"/>
      <c r="C34" s="109"/>
      <c r="D34" s="109"/>
      <c r="E34" s="101"/>
      <c r="F34" s="71"/>
      <c r="G34" s="115" t="s">
        <v>75</v>
      </c>
      <c r="H34" s="115"/>
      <c r="I34" s="109"/>
      <c r="J34" s="101"/>
    </row>
    <row r="35" spans="1:10" ht="26.25" customHeight="1">
      <c r="A35" s="116" t="s">
        <v>65</v>
      </c>
      <c r="B35" s="109"/>
      <c r="C35" s="109"/>
      <c r="D35" s="109"/>
      <c r="E35" s="101"/>
      <c r="F35" s="71"/>
      <c r="G35" s="115"/>
      <c r="H35" s="115"/>
      <c r="I35" s="109"/>
      <c r="J35" s="101"/>
    </row>
    <row r="36" spans="1:10" ht="26.25" customHeight="1">
      <c r="A36" s="98"/>
      <c r="B36" s="99"/>
      <c r="C36" s="99"/>
      <c r="D36" s="99"/>
      <c r="E36" s="117"/>
      <c r="F36" s="98"/>
      <c r="G36" s="118" t="s">
        <v>130</v>
      </c>
      <c r="H36" s="118"/>
      <c r="I36" s="99"/>
      <c r="J36" s="117"/>
    </row>
    <row r="37" spans="1:10" ht="26.25" customHeight="1">
      <c r="A37" s="119" t="s">
        <v>453</v>
      </c>
      <c r="B37" s="109"/>
      <c r="C37" s="109"/>
      <c r="D37" s="109"/>
      <c r="E37" s="109"/>
      <c r="F37" s="109"/>
      <c r="G37" s="109"/>
      <c r="H37" s="109"/>
      <c r="I37" s="120">
        <v>10709028.47</v>
      </c>
      <c r="J37" s="101" t="s">
        <v>40</v>
      </c>
    </row>
    <row r="38" spans="1:10" ht="26.25" customHeight="1">
      <c r="A38" s="119" t="s">
        <v>420</v>
      </c>
      <c r="B38" s="109"/>
      <c r="C38" s="109"/>
      <c r="D38" s="109"/>
      <c r="E38" s="109"/>
      <c r="F38" s="109"/>
      <c r="G38" s="109"/>
      <c r="H38" s="109"/>
      <c r="I38" s="71"/>
      <c r="J38" s="101"/>
    </row>
    <row r="39" spans="1:10" ht="26.25" customHeight="1">
      <c r="A39" s="71"/>
      <c r="B39" s="121" t="s">
        <v>66</v>
      </c>
      <c r="C39" s="115"/>
      <c r="D39" s="121" t="s">
        <v>67</v>
      </c>
      <c r="E39" s="121"/>
      <c r="F39" s="121" t="s">
        <v>68</v>
      </c>
      <c r="G39" s="121"/>
      <c r="H39" s="121"/>
      <c r="I39" s="71"/>
      <c r="J39" s="101"/>
    </row>
    <row r="40" spans="1:12" ht="26.25" customHeight="1">
      <c r="A40" s="122"/>
      <c r="B40" s="123">
        <v>241213</v>
      </c>
      <c r="C40" s="109"/>
      <c r="D40" s="123"/>
      <c r="E40" s="123"/>
      <c r="F40" s="109"/>
      <c r="G40" s="124">
        <v>1644889.09</v>
      </c>
      <c r="H40" s="109"/>
      <c r="I40" s="125"/>
      <c r="J40" s="101"/>
      <c r="L40" s="51"/>
    </row>
    <row r="41" spans="1:10" ht="26.25" customHeight="1">
      <c r="A41" s="119" t="s">
        <v>178</v>
      </c>
      <c r="B41" s="109"/>
      <c r="C41" s="109"/>
      <c r="D41" s="109"/>
      <c r="E41" s="109"/>
      <c r="F41" s="109"/>
      <c r="G41" s="109"/>
      <c r="H41" s="109"/>
      <c r="I41" s="71"/>
      <c r="J41" s="101"/>
    </row>
    <row r="42" spans="1:12" ht="26.25" customHeight="1">
      <c r="A42" s="71"/>
      <c r="B42" s="121" t="s">
        <v>69</v>
      </c>
      <c r="C42" s="109"/>
      <c r="D42" s="121" t="s">
        <v>70</v>
      </c>
      <c r="E42" s="121"/>
      <c r="F42" s="126" t="s">
        <v>68</v>
      </c>
      <c r="G42" s="126"/>
      <c r="H42" s="121"/>
      <c r="I42" s="71"/>
      <c r="J42" s="101"/>
      <c r="L42" s="51"/>
    </row>
    <row r="43" spans="1:12" ht="26.25" customHeight="1">
      <c r="A43" s="71"/>
      <c r="B43" s="127" t="s">
        <v>465</v>
      </c>
      <c r="C43" s="109"/>
      <c r="D43" s="285">
        <v>21545534</v>
      </c>
      <c r="E43" s="121"/>
      <c r="F43" s="126"/>
      <c r="G43" s="130">
        <v>4900</v>
      </c>
      <c r="H43" s="121"/>
      <c r="I43" s="71"/>
      <c r="J43" s="101"/>
      <c r="L43" s="51"/>
    </row>
    <row r="44" spans="1:12" ht="26.25" customHeight="1">
      <c r="A44" s="71"/>
      <c r="B44" s="127" t="s">
        <v>465</v>
      </c>
      <c r="C44" s="109"/>
      <c r="D44" s="285">
        <v>21545536</v>
      </c>
      <c r="E44" s="121"/>
      <c r="F44" s="126"/>
      <c r="G44" s="130">
        <v>4950</v>
      </c>
      <c r="H44" s="121"/>
      <c r="I44" s="71"/>
      <c r="J44" s="101"/>
      <c r="L44" s="51"/>
    </row>
    <row r="45" spans="1:14" ht="26.25" customHeight="1">
      <c r="A45" s="71"/>
      <c r="B45" s="127" t="s">
        <v>465</v>
      </c>
      <c r="D45" s="100">
        <v>21545537</v>
      </c>
      <c r="G45" s="128">
        <v>4950</v>
      </c>
      <c r="H45" s="121"/>
      <c r="I45" s="129"/>
      <c r="J45" s="101"/>
      <c r="N45" s="51"/>
    </row>
    <row r="46" spans="1:10" ht="26.25" customHeight="1">
      <c r="A46" s="71"/>
      <c r="B46" s="127" t="s">
        <v>459</v>
      </c>
      <c r="C46" s="109"/>
      <c r="D46" s="141" t="s">
        <v>460</v>
      </c>
      <c r="E46" s="141"/>
      <c r="F46" s="121"/>
      <c r="G46" s="130">
        <v>12950</v>
      </c>
      <c r="H46" s="121"/>
      <c r="I46" s="129"/>
      <c r="J46" s="101"/>
    </row>
    <row r="47" spans="1:10" ht="26.25" customHeight="1">
      <c r="A47" s="71"/>
      <c r="B47" s="127" t="s">
        <v>461</v>
      </c>
      <c r="C47" s="109"/>
      <c r="D47" s="141" t="s">
        <v>462</v>
      </c>
      <c r="E47" s="141"/>
      <c r="F47" s="121"/>
      <c r="G47" s="130">
        <v>5237.1</v>
      </c>
      <c r="H47" s="121"/>
      <c r="I47" s="129"/>
      <c r="J47" s="101"/>
    </row>
    <row r="48" spans="1:10" ht="26.25" customHeight="1">
      <c r="A48" s="71"/>
      <c r="B48" s="127" t="s">
        <v>463</v>
      </c>
      <c r="C48" s="109"/>
      <c r="D48" s="141" t="s">
        <v>464</v>
      </c>
      <c r="E48" s="141"/>
      <c r="F48" s="121"/>
      <c r="G48" s="124">
        <v>6765.7</v>
      </c>
      <c r="H48" s="121"/>
      <c r="I48" s="129"/>
      <c r="J48" s="101"/>
    </row>
    <row r="49" spans="1:10" ht="26.25" customHeight="1">
      <c r="A49" s="71"/>
      <c r="B49" s="127" t="s">
        <v>466</v>
      </c>
      <c r="D49" s="141" t="s">
        <v>467</v>
      </c>
      <c r="E49" s="141"/>
      <c r="G49" s="128">
        <v>1834.86</v>
      </c>
      <c r="H49" s="121"/>
      <c r="I49" s="71"/>
      <c r="J49" s="101"/>
    </row>
    <row r="50" spans="1:10" ht="26.25" customHeight="1">
      <c r="A50" s="71"/>
      <c r="B50" s="127" t="s">
        <v>466</v>
      </c>
      <c r="D50" s="141" t="s">
        <v>468</v>
      </c>
      <c r="E50" s="141"/>
      <c r="G50" s="128">
        <v>3200</v>
      </c>
      <c r="H50" s="121"/>
      <c r="I50" s="71"/>
      <c r="J50" s="101"/>
    </row>
    <row r="51" spans="1:10" ht="26.25" customHeight="1">
      <c r="A51" s="71"/>
      <c r="B51" s="127" t="s">
        <v>457</v>
      </c>
      <c r="D51" s="141" t="s">
        <v>469</v>
      </c>
      <c r="E51" s="141"/>
      <c r="G51" s="128">
        <v>15706</v>
      </c>
      <c r="H51" s="121"/>
      <c r="I51" s="71"/>
      <c r="J51" s="101"/>
    </row>
    <row r="52" spans="1:12" ht="26.25" customHeight="1">
      <c r="A52" s="71"/>
      <c r="B52" s="127" t="s">
        <v>457</v>
      </c>
      <c r="D52" s="141" t="s">
        <v>458</v>
      </c>
      <c r="E52" s="141"/>
      <c r="G52" s="128">
        <v>10897.2</v>
      </c>
      <c r="H52" s="121"/>
      <c r="I52" s="71"/>
      <c r="J52" s="101"/>
      <c r="L52" s="51">
        <f>I37+G40</f>
        <v>12353917.56</v>
      </c>
    </row>
    <row r="53" spans="1:10" ht="26.25" customHeight="1">
      <c r="A53" s="71"/>
      <c r="B53" s="127"/>
      <c r="D53" s="141"/>
      <c r="E53" s="141"/>
      <c r="G53" s="128"/>
      <c r="H53" s="121"/>
      <c r="I53" s="71"/>
      <c r="J53" s="101"/>
    </row>
    <row r="54" spans="1:10" ht="26.25" customHeight="1">
      <c r="A54" s="71"/>
      <c r="B54" s="127"/>
      <c r="C54" s="109"/>
      <c r="D54" s="141"/>
      <c r="E54" s="141"/>
      <c r="F54" s="121"/>
      <c r="G54" s="131"/>
      <c r="H54" s="124"/>
      <c r="I54" s="132"/>
      <c r="J54" s="133"/>
    </row>
    <row r="55" spans="1:13" ht="26.25" customHeight="1" thickBot="1">
      <c r="A55" s="71"/>
      <c r="B55" s="127"/>
      <c r="C55" s="109"/>
      <c r="D55" s="144"/>
      <c r="E55" s="144"/>
      <c r="F55" s="121"/>
      <c r="G55" s="134">
        <f>SUM(G43:G54)</f>
        <v>71390.86</v>
      </c>
      <c r="H55" s="109"/>
      <c r="I55" s="135">
        <f>G55</f>
        <v>71390.86</v>
      </c>
      <c r="J55" s="101" t="s">
        <v>40</v>
      </c>
      <c r="L55" s="51">
        <f>L52-L59</f>
        <v>71390.86000000127</v>
      </c>
      <c r="M55" s="51">
        <f>G55-L55</f>
        <v>-1.2660166248679161E-09</v>
      </c>
    </row>
    <row r="56" spans="1:10" ht="26.25" customHeight="1" thickTop="1">
      <c r="A56" s="119" t="s">
        <v>71</v>
      </c>
      <c r="B56" s="109"/>
      <c r="C56" s="109"/>
      <c r="D56" s="109"/>
      <c r="E56" s="109"/>
      <c r="F56" s="109"/>
      <c r="G56" s="109"/>
      <c r="H56" s="109"/>
      <c r="I56" s="71"/>
      <c r="J56" s="101"/>
    </row>
    <row r="57" spans="1:10" ht="26.25" customHeight="1">
      <c r="A57" s="71"/>
      <c r="B57" s="136" t="s">
        <v>64</v>
      </c>
      <c r="C57" s="126" t="s">
        <v>69</v>
      </c>
      <c r="D57" s="109"/>
      <c r="E57" s="136" t="s">
        <v>8</v>
      </c>
      <c r="F57" s="109"/>
      <c r="G57" s="126" t="s">
        <v>68</v>
      </c>
      <c r="H57" s="137"/>
      <c r="I57" s="71"/>
      <c r="J57" s="101"/>
    </row>
    <row r="58" spans="1:10" ht="26.25" customHeight="1" thickBot="1">
      <c r="A58" s="71"/>
      <c r="B58" s="123"/>
      <c r="C58" s="109"/>
      <c r="D58" s="123"/>
      <c r="E58" s="123"/>
      <c r="F58" s="109"/>
      <c r="G58" s="124"/>
      <c r="H58" s="109"/>
      <c r="I58" s="135"/>
      <c r="J58" s="101" t="s">
        <v>40</v>
      </c>
    </row>
    <row r="59" spans="1:12" ht="26.25" customHeight="1" thickBot="1" thickTop="1">
      <c r="A59" s="119" t="s">
        <v>454</v>
      </c>
      <c r="B59" s="115"/>
      <c r="C59" s="138"/>
      <c r="D59" s="138"/>
      <c r="E59" s="115"/>
      <c r="F59" s="109"/>
      <c r="G59" s="109"/>
      <c r="H59" s="109"/>
      <c r="I59" s="135">
        <f>I37-I40-I55+I58</f>
        <v>10637637.610000001</v>
      </c>
      <c r="J59" s="101" t="s">
        <v>40</v>
      </c>
      <c r="L59" s="51">
        <f>งบทดลอง!F629</f>
        <v>12282526.7</v>
      </c>
    </row>
    <row r="60" spans="1:10" ht="26.25" customHeight="1" thickTop="1">
      <c r="A60" s="139" t="s">
        <v>72</v>
      </c>
      <c r="B60" s="113"/>
      <c r="C60" s="113"/>
      <c r="D60" s="113"/>
      <c r="E60" s="114"/>
      <c r="F60" s="112"/>
      <c r="G60" s="140" t="s">
        <v>74</v>
      </c>
      <c r="H60" s="113"/>
      <c r="I60" s="113"/>
      <c r="J60" s="114"/>
    </row>
    <row r="61" spans="1:10" ht="26.25" customHeight="1">
      <c r="A61" s="71"/>
      <c r="B61" s="109"/>
      <c r="C61" s="109"/>
      <c r="D61" s="109"/>
      <c r="E61" s="101"/>
      <c r="F61" s="71"/>
      <c r="G61" s="109"/>
      <c r="H61" s="109"/>
      <c r="I61" s="109"/>
      <c r="J61" s="101"/>
    </row>
    <row r="62" spans="1:10" ht="26.25" customHeight="1">
      <c r="A62" s="71" t="s">
        <v>55</v>
      </c>
      <c r="B62" s="109"/>
      <c r="C62" s="109" t="s">
        <v>455</v>
      </c>
      <c r="D62" s="109"/>
      <c r="E62" s="109"/>
      <c r="F62" s="71"/>
      <c r="G62" s="109" t="s">
        <v>55</v>
      </c>
      <c r="H62" s="109"/>
      <c r="I62" s="109" t="s">
        <v>456</v>
      </c>
      <c r="J62" s="101"/>
    </row>
    <row r="63" spans="1:10" ht="26.25" customHeight="1">
      <c r="A63" s="71" t="s">
        <v>419</v>
      </c>
      <c r="B63" s="109"/>
      <c r="C63" s="109"/>
      <c r="D63" s="109"/>
      <c r="E63" s="109"/>
      <c r="F63" s="71"/>
      <c r="G63" s="109" t="s">
        <v>440</v>
      </c>
      <c r="H63" s="109"/>
      <c r="I63" s="109"/>
      <c r="J63" s="101"/>
    </row>
    <row r="64" spans="1:10" ht="26.25" customHeight="1">
      <c r="A64" s="98" t="s">
        <v>73</v>
      </c>
      <c r="B64" s="99" t="s">
        <v>129</v>
      </c>
      <c r="C64" s="99"/>
      <c r="D64" s="99"/>
      <c r="E64" s="99"/>
      <c r="F64" s="98" t="s">
        <v>441</v>
      </c>
      <c r="G64" s="99"/>
      <c r="H64" s="99"/>
      <c r="I64" s="99"/>
      <c r="J64" s="117"/>
    </row>
    <row r="65" spans="1:10" ht="26.25" customHeight="1">
      <c r="A65" s="112" t="s">
        <v>132</v>
      </c>
      <c r="B65" s="113"/>
      <c r="C65" s="113"/>
      <c r="D65" s="113"/>
      <c r="E65" s="114"/>
      <c r="F65" s="112"/>
      <c r="G65" s="113"/>
      <c r="H65" s="113"/>
      <c r="I65" s="113"/>
      <c r="J65" s="114"/>
    </row>
    <row r="66" spans="1:10" ht="26.25" customHeight="1">
      <c r="A66" s="71"/>
      <c r="B66" s="109"/>
      <c r="C66" s="109"/>
      <c r="D66" s="109"/>
      <c r="E66" s="101"/>
      <c r="F66" s="71"/>
      <c r="G66" s="115" t="s">
        <v>75</v>
      </c>
      <c r="H66" s="115"/>
      <c r="I66" s="109"/>
      <c r="J66" s="101"/>
    </row>
    <row r="67" spans="1:10" ht="26.25" customHeight="1">
      <c r="A67" s="116" t="s">
        <v>65</v>
      </c>
      <c r="B67" s="109"/>
      <c r="C67" s="109"/>
      <c r="D67" s="109"/>
      <c r="E67" s="101"/>
      <c r="F67" s="71"/>
      <c r="G67" s="115"/>
      <c r="H67" s="115"/>
      <c r="I67" s="109"/>
      <c r="J67" s="101"/>
    </row>
    <row r="68" spans="1:10" ht="26.25" customHeight="1">
      <c r="A68" s="98"/>
      <c r="B68" s="99"/>
      <c r="C68" s="99"/>
      <c r="D68" s="99"/>
      <c r="E68" s="117"/>
      <c r="F68" s="98"/>
      <c r="G68" s="118" t="s">
        <v>130</v>
      </c>
      <c r="H68" s="118"/>
      <c r="I68" s="99"/>
      <c r="J68" s="117"/>
    </row>
    <row r="69" spans="1:10" ht="26.25" customHeight="1">
      <c r="A69" s="119" t="s">
        <v>579</v>
      </c>
      <c r="B69" s="109"/>
      <c r="C69" s="109"/>
      <c r="D69" s="109"/>
      <c r="E69" s="109"/>
      <c r="F69" s="109"/>
      <c r="G69" s="109"/>
      <c r="H69" s="109"/>
      <c r="I69" s="120">
        <v>12256577.34</v>
      </c>
      <c r="J69" s="101" t="s">
        <v>40</v>
      </c>
    </row>
    <row r="70" spans="1:10" ht="26.25" customHeight="1">
      <c r="A70" s="119" t="s">
        <v>420</v>
      </c>
      <c r="B70" s="109"/>
      <c r="C70" s="109"/>
      <c r="D70" s="109"/>
      <c r="E70" s="109"/>
      <c r="F70" s="109"/>
      <c r="G70" s="109"/>
      <c r="H70" s="109"/>
      <c r="I70" s="71"/>
      <c r="J70" s="101"/>
    </row>
    <row r="71" spans="1:10" ht="26.25" customHeight="1">
      <c r="A71" s="71"/>
      <c r="B71" s="121" t="s">
        <v>66</v>
      </c>
      <c r="C71" s="115"/>
      <c r="D71" s="121" t="s">
        <v>67</v>
      </c>
      <c r="E71" s="121"/>
      <c r="F71" s="121" t="s">
        <v>68</v>
      </c>
      <c r="G71" s="121"/>
      <c r="H71" s="121"/>
      <c r="I71" s="71"/>
      <c r="J71" s="101"/>
    </row>
    <row r="72" spans="1:10" ht="26.25" customHeight="1">
      <c r="A72" s="122"/>
      <c r="B72" s="123">
        <v>241274</v>
      </c>
      <c r="C72" s="109"/>
      <c r="D72" s="123">
        <v>241274</v>
      </c>
      <c r="E72" s="123"/>
      <c r="F72" s="109"/>
      <c r="G72" s="124">
        <v>112031.91</v>
      </c>
      <c r="H72" s="109"/>
      <c r="I72" s="125"/>
      <c r="J72" s="101"/>
    </row>
    <row r="73" spans="1:10" ht="26.25" customHeight="1">
      <c r="A73" s="119" t="s">
        <v>178</v>
      </c>
      <c r="B73" s="109"/>
      <c r="C73" s="109"/>
      <c r="D73" s="109"/>
      <c r="E73" s="109"/>
      <c r="F73" s="109"/>
      <c r="G73" s="109"/>
      <c r="H73" s="109"/>
      <c r="I73" s="71"/>
      <c r="J73" s="101"/>
    </row>
    <row r="74" spans="1:10" ht="26.25" customHeight="1">
      <c r="A74" s="71"/>
      <c r="B74" s="121" t="s">
        <v>69</v>
      </c>
      <c r="C74" s="109"/>
      <c r="D74" s="121" t="s">
        <v>70</v>
      </c>
      <c r="E74" s="121"/>
      <c r="F74" s="126" t="s">
        <v>68</v>
      </c>
      <c r="G74" s="126"/>
      <c r="H74" s="121"/>
      <c r="I74" s="71"/>
      <c r="J74" s="101"/>
    </row>
    <row r="75" spans="1:10" ht="26.25" customHeight="1">
      <c r="A75" s="71"/>
      <c r="B75" s="127" t="s">
        <v>583</v>
      </c>
      <c r="C75" s="109"/>
      <c r="D75" s="285">
        <v>21545669</v>
      </c>
      <c r="E75" s="121"/>
      <c r="F75" s="126"/>
      <c r="G75" s="130">
        <v>4000</v>
      </c>
      <c r="H75" s="121"/>
      <c r="I75" s="71"/>
      <c r="J75" s="101"/>
    </row>
    <row r="76" spans="1:10" ht="26.25" customHeight="1">
      <c r="A76" s="71"/>
      <c r="B76" s="127" t="s">
        <v>584</v>
      </c>
      <c r="C76" s="109"/>
      <c r="D76" s="285">
        <v>21545674</v>
      </c>
      <c r="E76" s="121"/>
      <c r="F76" s="126"/>
      <c r="G76" s="130">
        <v>42840</v>
      </c>
      <c r="H76" s="121"/>
      <c r="I76" s="71"/>
      <c r="J76" s="101"/>
    </row>
    <row r="77" spans="1:10" ht="26.25" customHeight="1">
      <c r="A77" s="71"/>
      <c r="B77" s="127" t="s">
        <v>585</v>
      </c>
      <c r="D77" s="285">
        <v>21545675</v>
      </c>
      <c r="G77" s="128">
        <v>31500</v>
      </c>
      <c r="H77" s="121"/>
      <c r="I77" s="129"/>
      <c r="J77" s="101"/>
    </row>
    <row r="78" spans="1:10" ht="26.25" customHeight="1">
      <c r="A78" s="71"/>
      <c r="B78" s="127" t="s">
        <v>585</v>
      </c>
      <c r="C78" s="109"/>
      <c r="D78" s="285">
        <v>21545676</v>
      </c>
      <c r="E78" s="141"/>
      <c r="F78" s="121"/>
      <c r="G78" s="130">
        <v>2871</v>
      </c>
      <c r="H78" s="121"/>
      <c r="I78" s="129"/>
      <c r="J78" s="101"/>
    </row>
    <row r="79" spans="1:10" ht="26.25" customHeight="1">
      <c r="A79" s="71"/>
      <c r="B79" s="127" t="s">
        <v>585</v>
      </c>
      <c r="C79" s="109"/>
      <c r="D79" s="285">
        <v>21545684</v>
      </c>
      <c r="E79" s="141"/>
      <c r="F79" s="121"/>
      <c r="G79" s="130">
        <v>15706</v>
      </c>
      <c r="H79" s="121"/>
      <c r="I79" s="129"/>
      <c r="J79" s="101"/>
    </row>
    <row r="80" spans="1:10" ht="26.25" customHeight="1">
      <c r="A80" s="71"/>
      <c r="B80" s="127" t="s">
        <v>585</v>
      </c>
      <c r="C80" s="109"/>
      <c r="D80" s="285">
        <v>21545685</v>
      </c>
      <c r="E80" s="141"/>
      <c r="F80" s="121"/>
      <c r="G80" s="124">
        <v>2000</v>
      </c>
      <c r="H80" s="121"/>
      <c r="I80" s="129"/>
      <c r="J80" s="101"/>
    </row>
    <row r="81" spans="1:10" ht="26.25" customHeight="1">
      <c r="A81" s="71"/>
      <c r="B81" s="127" t="s">
        <v>585</v>
      </c>
      <c r="D81" s="285">
        <v>21545686</v>
      </c>
      <c r="E81" s="141"/>
      <c r="G81" s="128">
        <v>10852.64</v>
      </c>
      <c r="H81" s="121"/>
      <c r="I81" s="71"/>
      <c r="J81" s="101"/>
    </row>
    <row r="82" spans="1:10" ht="26.25" customHeight="1">
      <c r="A82" s="71"/>
      <c r="B82" s="127"/>
      <c r="D82" s="141"/>
      <c r="E82" s="141"/>
      <c r="G82" s="128"/>
      <c r="H82" s="121"/>
      <c r="I82" s="71"/>
      <c r="J82" s="101"/>
    </row>
    <row r="83" spans="1:10" ht="26.25" customHeight="1">
      <c r="A83" s="71"/>
      <c r="B83" s="127"/>
      <c r="D83" s="141"/>
      <c r="E83" s="141"/>
      <c r="G83" s="128"/>
      <c r="H83" s="121"/>
      <c r="I83" s="71"/>
      <c r="J83" s="101"/>
    </row>
    <row r="84" spans="1:10" ht="26.25" customHeight="1">
      <c r="A84" s="71"/>
      <c r="B84" s="127"/>
      <c r="D84" s="141"/>
      <c r="E84" s="141"/>
      <c r="G84" s="128"/>
      <c r="H84" s="121"/>
      <c r="I84" s="71"/>
      <c r="J84" s="101"/>
    </row>
    <row r="85" spans="1:10" ht="26.25" customHeight="1">
      <c r="A85" s="71"/>
      <c r="B85" s="127"/>
      <c r="D85" s="141"/>
      <c r="E85" s="141"/>
      <c r="G85" s="128"/>
      <c r="H85" s="121"/>
      <c r="I85" s="71"/>
      <c r="J85" s="101"/>
    </row>
    <row r="86" spans="1:12" ht="26.25" customHeight="1">
      <c r="A86" s="71"/>
      <c r="B86" s="127"/>
      <c r="C86" s="109"/>
      <c r="D86" s="141"/>
      <c r="E86" s="141"/>
      <c r="F86" s="121"/>
      <c r="G86" s="131"/>
      <c r="H86" s="124"/>
      <c r="I86" s="132"/>
      <c r="J86" s="133"/>
      <c r="L86" s="51">
        <f>งบทดลอง!F800</f>
        <v>12258839.61</v>
      </c>
    </row>
    <row r="87" spans="1:10" ht="26.25" customHeight="1" thickBot="1">
      <c r="A87" s="71"/>
      <c r="B87" s="127"/>
      <c r="C87" s="109"/>
      <c r="D87" s="144"/>
      <c r="E87" s="144"/>
      <c r="F87" s="121"/>
      <c r="G87" s="134">
        <f>SUM(G75:G86)</f>
        <v>109769.64</v>
      </c>
      <c r="H87" s="109"/>
      <c r="I87" s="135">
        <f>G87</f>
        <v>109769.64</v>
      </c>
      <c r="J87" s="101" t="s">
        <v>40</v>
      </c>
    </row>
    <row r="88" spans="1:10" ht="26.25" customHeight="1" thickTop="1">
      <c r="A88" s="119" t="s">
        <v>71</v>
      </c>
      <c r="B88" s="109"/>
      <c r="C88" s="109"/>
      <c r="D88" s="109"/>
      <c r="E88" s="109"/>
      <c r="F88" s="109"/>
      <c r="G88" s="109"/>
      <c r="H88" s="109"/>
      <c r="I88" s="71"/>
      <c r="J88" s="101"/>
    </row>
    <row r="89" spans="1:12" ht="26.25" customHeight="1">
      <c r="A89" s="71"/>
      <c r="B89" s="136" t="s">
        <v>64</v>
      </c>
      <c r="C89" s="126" t="s">
        <v>69</v>
      </c>
      <c r="D89" s="109"/>
      <c r="E89" s="136" t="s">
        <v>8</v>
      </c>
      <c r="F89" s="109"/>
      <c r="G89" s="126" t="s">
        <v>68</v>
      </c>
      <c r="H89" s="137"/>
      <c r="I89" s="71"/>
      <c r="J89" s="101"/>
      <c r="L89" s="51">
        <f>I69+G72-L86</f>
        <v>109769.6400000006</v>
      </c>
    </row>
    <row r="90" spans="1:10" ht="26.25" customHeight="1" thickBot="1">
      <c r="A90" s="71"/>
      <c r="B90" s="123"/>
      <c r="C90" s="109"/>
      <c r="D90" s="123"/>
      <c r="E90" s="123"/>
      <c r="F90" s="109"/>
      <c r="G90" s="124"/>
      <c r="H90" s="109"/>
      <c r="I90" s="135"/>
      <c r="J90" s="101" t="s">
        <v>40</v>
      </c>
    </row>
    <row r="91" spans="1:10" ht="26.25" customHeight="1" thickBot="1" thickTop="1">
      <c r="A91" s="119" t="s">
        <v>580</v>
      </c>
      <c r="B91" s="115"/>
      <c r="C91" s="138"/>
      <c r="D91" s="138"/>
      <c r="E91" s="115"/>
      <c r="F91" s="109"/>
      <c r="G91" s="109"/>
      <c r="H91" s="109"/>
      <c r="I91" s="135">
        <f>I69-I72-I87+I90</f>
        <v>12146807.7</v>
      </c>
      <c r="J91" s="101" t="s">
        <v>40</v>
      </c>
    </row>
    <row r="92" spans="1:10" ht="26.25" customHeight="1" thickTop="1">
      <c r="A92" s="139" t="s">
        <v>72</v>
      </c>
      <c r="B92" s="113"/>
      <c r="C92" s="113"/>
      <c r="D92" s="113"/>
      <c r="E92" s="114"/>
      <c r="F92" s="112"/>
      <c r="G92" s="140" t="s">
        <v>74</v>
      </c>
      <c r="H92" s="113"/>
      <c r="I92" s="113"/>
      <c r="J92" s="114"/>
    </row>
    <row r="93" spans="1:10" ht="26.25" customHeight="1">
      <c r="A93" s="71"/>
      <c r="B93" s="109"/>
      <c r="C93" s="109"/>
      <c r="D93" s="109"/>
      <c r="E93" s="101"/>
      <c r="F93" s="71"/>
      <c r="G93" s="109"/>
      <c r="H93" s="109"/>
      <c r="I93" s="109"/>
      <c r="J93" s="101"/>
    </row>
    <row r="94" spans="1:10" ht="26.25" customHeight="1">
      <c r="A94" s="71" t="s">
        <v>55</v>
      </c>
      <c r="B94" s="109"/>
      <c r="C94" s="109" t="s">
        <v>581</v>
      </c>
      <c r="D94" s="109"/>
      <c r="E94" s="109"/>
      <c r="F94" s="71"/>
      <c r="G94" s="109" t="s">
        <v>55</v>
      </c>
      <c r="H94" s="109"/>
      <c r="I94" s="109" t="s">
        <v>582</v>
      </c>
      <c r="J94" s="101"/>
    </row>
    <row r="95" spans="1:10" ht="26.25" customHeight="1">
      <c r="A95" s="71" t="s">
        <v>587</v>
      </c>
      <c r="B95" s="109"/>
      <c r="C95" s="109"/>
      <c r="D95" s="109"/>
      <c r="E95" s="109"/>
      <c r="F95" s="71"/>
      <c r="G95" s="109" t="s">
        <v>586</v>
      </c>
      <c r="H95" s="109"/>
      <c r="I95" s="109"/>
      <c r="J95" s="101"/>
    </row>
    <row r="96" spans="1:10" ht="26.25" customHeight="1">
      <c r="A96" s="98" t="s">
        <v>73</v>
      </c>
      <c r="B96" s="99" t="s">
        <v>471</v>
      </c>
      <c r="C96" s="99"/>
      <c r="D96" s="99"/>
      <c r="E96" s="99"/>
      <c r="F96" s="98" t="s">
        <v>441</v>
      </c>
      <c r="G96" s="99"/>
      <c r="H96" s="99"/>
      <c r="I96" s="99"/>
      <c r="J96" s="117"/>
    </row>
    <row r="97" spans="1:10" ht="24" customHeight="1">
      <c r="A97" s="112" t="s">
        <v>132</v>
      </c>
      <c r="B97" s="113"/>
      <c r="C97" s="113"/>
      <c r="D97" s="113"/>
      <c r="E97" s="114"/>
      <c r="F97" s="112"/>
      <c r="G97" s="113"/>
      <c r="H97" s="113"/>
      <c r="I97" s="113"/>
      <c r="J97" s="114"/>
    </row>
    <row r="98" spans="1:10" ht="24" customHeight="1">
      <c r="A98" s="71"/>
      <c r="B98" s="109"/>
      <c r="C98" s="109"/>
      <c r="D98" s="109"/>
      <c r="E98" s="101"/>
      <c r="F98" s="71"/>
      <c r="G98" s="115" t="s">
        <v>75</v>
      </c>
      <c r="H98" s="115"/>
      <c r="I98" s="109"/>
      <c r="J98" s="101"/>
    </row>
    <row r="99" spans="1:10" ht="24" customHeight="1">
      <c r="A99" s="116" t="s">
        <v>65</v>
      </c>
      <c r="B99" s="109"/>
      <c r="C99" s="109"/>
      <c r="D99" s="109"/>
      <c r="E99" s="101"/>
      <c r="F99" s="71"/>
      <c r="G99" s="115"/>
      <c r="H99" s="115"/>
      <c r="I99" s="109"/>
      <c r="J99" s="101"/>
    </row>
    <row r="100" spans="1:10" ht="24" customHeight="1">
      <c r="A100" s="98"/>
      <c r="B100" s="99"/>
      <c r="C100" s="99"/>
      <c r="D100" s="99"/>
      <c r="E100" s="117"/>
      <c r="F100" s="98"/>
      <c r="G100" s="118" t="s">
        <v>130</v>
      </c>
      <c r="H100" s="118"/>
      <c r="I100" s="99"/>
      <c r="J100" s="117"/>
    </row>
    <row r="101" spans="1:10" ht="24" customHeight="1">
      <c r="A101" s="119" t="s">
        <v>598</v>
      </c>
      <c r="B101" s="109"/>
      <c r="C101" s="109"/>
      <c r="D101" s="109"/>
      <c r="E101" s="109"/>
      <c r="F101" s="109"/>
      <c r="G101" s="109"/>
      <c r="H101" s="109"/>
      <c r="I101" s="120">
        <v>11442432.49</v>
      </c>
      <c r="J101" s="101" t="s">
        <v>40</v>
      </c>
    </row>
    <row r="102" spans="1:10" ht="24" customHeight="1">
      <c r="A102" s="119" t="s">
        <v>420</v>
      </c>
      <c r="B102" s="109"/>
      <c r="C102" s="109"/>
      <c r="D102" s="109"/>
      <c r="E102" s="109"/>
      <c r="F102" s="109"/>
      <c r="G102" s="109"/>
      <c r="H102" s="109"/>
      <c r="I102" s="71"/>
      <c r="J102" s="101"/>
    </row>
    <row r="103" spans="1:10" ht="24" customHeight="1">
      <c r="A103" s="71"/>
      <c r="B103" s="121" t="s">
        <v>66</v>
      </c>
      <c r="C103" s="115"/>
      <c r="D103" s="121" t="s">
        <v>67</v>
      </c>
      <c r="E103" s="121"/>
      <c r="F103" s="121" t="s">
        <v>68</v>
      </c>
      <c r="G103" s="121"/>
      <c r="H103" s="121"/>
      <c r="I103" s="71"/>
      <c r="J103" s="101"/>
    </row>
    <row r="104" spans="1:12" ht="24" customHeight="1">
      <c r="A104" s="122"/>
      <c r="B104" s="123">
        <v>241305</v>
      </c>
      <c r="C104" s="109"/>
      <c r="D104" s="123">
        <f>B104</f>
        <v>241305</v>
      </c>
      <c r="E104" s="123"/>
      <c r="F104" s="109"/>
      <c r="G104" s="124">
        <v>365519.66</v>
      </c>
      <c r="H104" s="109"/>
      <c r="I104" s="125">
        <v>365519.66</v>
      </c>
      <c r="J104" s="101"/>
      <c r="L104" s="51">
        <f>I101-งบทดลอง!F883</f>
        <v>-159302.75999999978</v>
      </c>
    </row>
    <row r="105" spans="1:10" ht="24" customHeight="1">
      <c r="A105" s="119" t="s">
        <v>178</v>
      </c>
      <c r="B105" s="109"/>
      <c r="C105" s="109"/>
      <c r="D105" s="109"/>
      <c r="E105" s="109"/>
      <c r="F105" s="109"/>
      <c r="G105" s="109"/>
      <c r="H105" s="109"/>
      <c r="I105" s="71"/>
      <c r="J105" s="101"/>
    </row>
    <row r="106" spans="1:10" ht="24" customHeight="1">
      <c r="A106" s="71"/>
      <c r="B106" s="121" t="s">
        <v>69</v>
      </c>
      <c r="C106" s="109"/>
      <c r="D106" s="121" t="s">
        <v>70</v>
      </c>
      <c r="E106" s="121"/>
      <c r="F106" s="126" t="s">
        <v>68</v>
      </c>
      <c r="G106" s="126"/>
      <c r="H106" s="121"/>
      <c r="I106" s="71"/>
      <c r="J106" s="101"/>
    </row>
    <row r="107" spans="1:10" ht="24" customHeight="1">
      <c r="A107" s="71"/>
      <c r="B107" s="127" t="s">
        <v>602</v>
      </c>
      <c r="C107" s="109"/>
      <c r="D107" s="285">
        <v>21545734</v>
      </c>
      <c r="E107" s="121"/>
      <c r="F107" s="126"/>
      <c r="G107" s="130">
        <v>6237</v>
      </c>
      <c r="H107" s="121"/>
      <c r="I107" s="71"/>
      <c r="J107" s="101"/>
    </row>
    <row r="108" spans="1:10" ht="24" customHeight="1">
      <c r="A108" s="71"/>
      <c r="B108" s="127" t="s">
        <v>601</v>
      </c>
      <c r="C108" s="109"/>
      <c r="D108" s="285">
        <v>21545715</v>
      </c>
      <c r="E108" s="121"/>
      <c r="F108" s="126"/>
      <c r="G108" s="130">
        <v>1980</v>
      </c>
      <c r="H108" s="121"/>
      <c r="I108" s="71"/>
      <c r="J108" s="101"/>
    </row>
    <row r="109" spans="1:10" ht="24" customHeight="1">
      <c r="A109" s="71"/>
      <c r="B109" s="127" t="s">
        <v>601</v>
      </c>
      <c r="D109" s="285">
        <v>21545716</v>
      </c>
      <c r="G109" s="128">
        <v>1980</v>
      </c>
      <c r="H109" s="121"/>
      <c r="I109" s="129"/>
      <c r="J109" s="101"/>
    </row>
    <row r="110" spans="1:10" ht="24" customHeight="1">
      <c r="A110" s="71"/>
      <c r="B110" s="127" t="s">
        <v>602</v>
      </c>
      <c r="C110" s="109"/>
      <c r="D110" s="285">
        <v>21545733</v>
      </c>
      <c r="E110" s="141"/>
      <c r="F110" s="121"/>
      <c r="G110" s="130">
        <v>16681.5</v>
      </c>
      <c r="H110" s="121"/>
      <c r="I110" s="129"/>
      <c r="J110" s="101"/>
    </row>
    <row r="111" spans="1:10" ht="24" customHeight="1">
      <c r="A111" s="71"/>
      <c r="B111" s="127" t="s">
        <v>602</v>
      </c>
      <c r="C111" s="109"/>
      <c r="D111" s="285">
        <v>21545737</v>
      </c>
      <c r="E111" s="141"/>
      <c r="F111" s="121"/>
      <c r="G111" s="130">
        <v>21879</v>
      </c>
      <c r="H111" s="121"/>
      <c r="I111" s="129"/>
      <c r="J111" s="101"/>
    </row>
    <row r="112" spans="1:10" ht="24" customHeight="1">
      <c r="A112" s="71"/>
      <c r="B112" s="127" t="s">
        <v>603</v>
      </c>
      <c r="C112" s="109"/>
      <c r="D112" s="285">
        <v>21545723</v>
      </c>
      <c r="E112" s="141"/>
      <c r="F112" s="121"/>
      <c r="G112" s="124">
        <v>104650.5</v>
      </c>
      <c r="H112" s="121"/>
      <c r="I112" s="129"/>
      <c r="J112" s="101"/>
    </row>
    <row r="113" spans="1:10" ht="24" customHeight="1">
      <c r="A113" s="71"/>
      <c r="B113" s="127" t="s">
        <v>602</v>
      </c>
      <c r="D113" s="285">
        <v>21545731</v>
      </c>
      <c r="E113" s="141"/>
      <c r="G113" s="128">
        <v>4012.15</v>
      </c>
      <c r="H113" s="121"/>
      <c r="I113" s="71"/>
      <c r="J113" s="101"/>
    </row>
    <row r="114" spans="1:10" ht="24" customHeight="1">
      <c r="A114" s="71"/>
      <c r="B114" s="127" t="s">
        <v>602</v>
      </c>
      <c r="D114" s="141" t="s">
        <v>604</v>
      </c>
      <c r="E114" s="141"/>
      <c r="G114" s="128">
        <v>6424.39</v>
      </c>
      <c r="H114" s="121"/>
      <c r="I114" s="71"/>
      <c r="J114" s="101"/>
    </row>
    <row r="115" spans="1:10" ht="24" customHeight="1">
      <c r="A115" s="71"/>
      <c r="B115" s="127" t="s">
        <v>602</v>
      </c>
      <c r="D115" s="141" t="s">
        <v>605</v>
      </c>
      <c r="E115" s="141"/>
      <c r="G115" s="128">
        <v>2500</v>
      </c>
      <c r="H115" s="121"/>
      <c r="I115" s="71"/>
      <c r="J115" s="101"/>
    </row>
    <row r="116" spans="1:10" ht="24" customHeight="1">
      <c r="A116" s="71"/>
      <c r="B116" s="127" t="s">
        <v>602</v>
      </c>
      <c r="D116" s="141" t="s">
        <v>606</v>
      </c>
      <c r="E116" s="141"/>
      <c r="G116" s="128">
        <v>2000</v>
      </c>
      <c r="H116" s="121"/>
      <c r="I116" s="71"/>
      <c r="J116" s="101"/>
    </row>
    <row r="117" spans="1:10" ht="24" customHeight="1">
      <c r="A117" s="71"/>
      <c r="B117" s="127" t="s">
        <v>602</v>
      </c>
      <c r="D117" s="141" t="s">
        <v>607</v>
      </c>
      <c r="E117" s="141"/>
      <c r="G117" s="128">
        <v>15706</v>
      </c>
      <c r="H117" s="121"/>
      <c r="I117" s="71"/>
      <c r="J117" s="101"/>
    </row>
    <row r="118" spans="1:10" ht="24" customHeight="1">
      <c r="A118" s="71"/>
      <c r="B118" s="127" t="s">
        <v>601</v>
      </c>
      <c r="C118" s="109"/>
      <c r="D118" s="141" t="s">
        <v>608</v>
      </c>
      <c r="E118" s="141"/>
      <c r="F118" s="121"/>
      <c r="G118" s="131">
        <v>3975.36</v>
      </c>
      <c r="H118" s="124"/>
      <c r="I118" s="132"/>
      <c r="J118" s="133"/>
    </row>
    <row r="119" spans="1:10" ht="24" customHeight="1">
      <c r="A119" s="71"/>
      <c r="B119" s="127" t="s">
        <v>603</v>
      </c>
      <c r="C119" s="109"/>
      <c r="D119" s="141" t="s">
        <v>609</v>
      </c>
      <c r="E119" s="141"/>
      <c r="F119" s="121"/>
      <c r="G119" s="131">
        <v>7821</v>
      </c>
      <c r="H119" s="124"/>
      <c r="I119" s="132"/>
      <c r="J119" s="133"/>
    </row>
    <row r="120" spans="1:10" ht="24" customHeight="1">
      <c r="A120" s="71"/>
      <c r="B120" s="127" t="s">
        <v>603</v>
      </c>
      <c r="C120" s="109"/>
      <c r="D120" s="141" t="s">
        <v>610</v>
      </c>
      <c r="E120" s="141"/>
      <c r="F120" s="121"/>
      <c r="G120" s="131">
        <v>10370</v>
      </c>
      <c r="H120" s="124"/>
      <c r="I120" s="132"/>
      <c r="J120" s="133"/>
    </row>
    <row r="121" spans="1:10" ht="24" customHeight="1" thickBot="1">
      <c r="A121" s="71"/>
      <c r="B121" s="127"/>
      <c r="C121" s="109"/>
      <c r="D121" s="144"/>
      <c r="E121" s="144"/>
      <c r="F121" s="121"/>
      <c r="G121" s="134">
        <f>SUM(G107:G120)</f>
        <v>206216.9</v>
      </c>
      <c r="H121" s="109"/>
      <c r="I121" s="135">
        <f>G121</f>
        <v>206216.9</v>
      </c>
      <c r="J121" s="101" t="s">
        <v>40</v>
      </c>
    </row>
    <row r="122" spans="1:10" ht="24" customHeight="1" thickTop="1">
      <c r="A122" s="119" t="s">
        <v>71</v>
      </c>
      <c r="B122" s="109"/>
      <c r="C122" s="109"/>
      <c r="D122" s="109"/>
      <c r="E122" s="109"/>
      <c r="F122" s="109"/>
      <c r="G122" s="109"/>
      <c r="H122" s="109"/>
      <c r="I122" s="71"/>
      <c r="J122" s="101"/>
    </row>
    <row r="123" spans="1:10" ht="24" customHeight="1">
      <c r="A123" s="71"/>
      <c r="B123" s="136" t="s">
        <v>64</v>
      </c>
      <c r="C123" s="126" t="s">
        <v>69</v>
      </c>
      <c r="D123" s="109"/>
      <c r="E123" s="136" t="s">
        <v>8</v>
      </c>
      <c r="F123" s="109"/>
      <c r="G123" s="126" t="s">
        <v>68</v>
      </c>
      <c r="H123" s="137"/>
      <c r="I123" s="71"/>
      <c r="J123" s="101"/>
    </row>
    <row r="124" spans="1:10" ht="24" customHeight="1" thickBot="1">
      <c r="A124" s="71"/>
      <c r="B124" s="123"/>
      <c r="C124" s="109"/>
      <c r="D124" s="123"/>
      <c r="E124" s="123"/>
      <c r="F124" s="109"/>
      <c r="G124" s="124"/>
      <c r="H124" s="109"/>
      <c r="I124" s="135"/>
      <c r="J124" s="101" t="s">
        <v>40</v>
      </c>
    </row>
    <row r="125" spans="1:12" ht="24" customHeight="1" thickBot="1" thickTop="1">
      <c r="A125" s="119" t="s">
        <v>611</v>
      </c>
      <c r="B125" s="115"/>
      <c r="C125" s="138"/>
      <c r="D125" s="138"/>
      <c r="E125" s="115"/>
      <c r="F125" s="109"/>
      <c r="G125" s="109"/>
      <c r="H125" s="109"/>
      <c r="I125" s="135">
        <f>I101+I104-I121</f>
        <v>11601735.25</v>
      </c>
      <c r="J125" s="101" t="s">
        <v>40</v>
      </c>
      <c r="L125" s="51"/>
    </row>
    <row r="126" spans="1:12" ht="24" customHeight="1" thickTop="1">
      <c r="A126" s="139" t="s">
        <v>72</v>
      </c>
      <c r="B126" s="113"/>
      <c r="C126" s="113"/>
      <c r="D126" s="113"/>
      <c r="E126" s="114"/>
      <c r="F126" s="112"/>
      <c r="G126" s="140" t="s">
        <v>74</v>
      </c>
      <c r="H126" s="113"/>
      <c r="I126" s="113"/>
      <c r="J126" s="114"/>
      <c r="L126" s="51">
        <f>I125-L125</f>
        <v>11601735.25</v>
      </c>
    </row>
    <row r="127" spans="1:10" ht="24" customHeight="1">
      <c r="A127" s="71"/>
      <c r="B127" s="109"/>
      <c r="C127" s="109"/>
      <c r="D127" s="109"/>
      <c r="E127" s="101"/>
      <c r="F127" s="71"/>
      <c r="G127" s="109"/>
      <c r="H127" s="109"/>
      <c r="I127" s="109"/>
      <c r="J127" s="101"/>
    </row>
    <row r="128" spans="1:10" ht="24" customHeight="1">
      <c r="A128" s="71" t="s">
        <v>55</v>
      </c>
      <c r="B128" s="109"/>
      <c r="C128" s="109" t="s">
        <v>612</v>
      </c>
      <c r="D128" s="109"/>
      <c r="E128" s="109"/>
      <c r="F128" s="71"/>
      <c r="G128" s="109" t="s">
        <v>55</v>
      </c>
      <c r="H128" s="109"/>
      <c r="I128" s="109" t="s">
        <v>613</v>
      </c>
      <c r="J128" s="101"/>
    </row>
    <row r="129" spans="1:10" ht="24" customHeight="1">
      <c r="A129" s="71" t="s">
        <v>587</v>
      </c>
      <c r="B129" s="109"/>
      <c r="C129" s="109"/>
      <c r="D129" s="109"/>
      <c r="E129" s="109"/>
      <c r="F129" s="71"/>
      <c r="G129" s="109" t="s">
        <v>586</v>
      </c>
      <c r="H129" s="109"/>
      <c r="I129" s="109"/>
      <c r="J129" s="101"/>
    </row>
    <row r="130" spans="1:10" ht="24" customHeight="1">
      <c r="A130" s="98" t="s">
        <v>73</v>
      </c>
      <c r="B130" s="99" t="s">
        <v>471</v>
      </c>
      <c r="C130" s="99"/>
      <c r="D130" s="99"/>
      <c r="E130" s="99"/>
      <c r="F130" s="98" t="s">
        <v>441</v>
      </c>
      <c r="G130" s="99"/>
      <c r="H130" s="99"/>
      <c r="I130" s="99"/>
      <c r="J130" s="117"/>
    </row>
    <row r="131" ht="24" customHeight="1"/>
    <row r="132" ht="24" customHeight="1"/>
    <row r="133" ht="24" customHeight="1"/>
  </sheetData>
  <sheetProtection/>
  <printOptions/>
  <pageMargins left="0.55" right="0" top="0.36" bottom="0.17" header="0" footer="0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M16" sqref="M16"/>
    </sheetView>
  </sheetViews>
  <sheetFormatPr defaultColWidth="9.140625" defaultRowHeight="21.75"/>
  <cols>
    <col min="1" max="1" width="7.421875" style="0" customWidth="1"/>
    <col min="6" max="6" width="8.57421875" style="0" customWidth="1"/>
  </cols>
  <sheetData>
    <row r="1" spans="1:10" ht="2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2"/>
      <c r="B4" s="1"/>
      <c r="C4" s="1"/>
      <c r="D4" s="1"/>
      <c r="E4" s="1"/>
      <c r="F4" s="1"/>
      <c r="G4" s="2"/>
      <c r="H4" s="1"/>
      <c r="I4" s="1"/>
      <c r="J4" s="1"/>
    </row>
    <row r="5" spans="1:10" ht="14.25" customHeight="1">
      <c r="A5" s="1"/>
      <c r="B5" s="1"/>
      <c r="C5" s="1"/>
      <c r="D5" s="1"/>
      <c r="E5" s="1"/>
      <c r="F5" s="1"/>
      <c r="G5" s="2"/>
      <c r="H5" s="1"/>
      <c r="I5" s="1"/>
      <c r="J5" s="1"/>
    </row>
    <row r="6" spans="1:10" ht="25.5" customHeight="1">
      <c r="A6" s="2"/>
      <c r="B6" s="2"/>
      <c r="C6" s="2"/>
      <c r="D6" s="376" t="s">
        <v>143</v>
      </c>
      <c r="E6" s="376"/>
      <c r="F6" s="376"/>
      <c r="G6" s="376"/>
      <c r="H6" s="2"/>
      <c r="I6" s="2"/>
      <c r="J6" s="2"/>
    </row>
    <row r="7" spans="1:10" ht="23.25" customHeight="1">
      <c r="A7" s="2"/>
      <c r="B7" s="2"/>
      <c r="C7" s="2" t="s">
        <v>144</v>
      </c>
      <c r="D7" s="2"/>
      <c r="E7" s="2"/>
      <c r="F7" s="2"/>
      <c r="G7" s="2"/>
      <c r="H7" s="2"/>
      <c r="I7" s="2"/>
      <c r="J7" s="2"/>
    </row>
    <row r="8" spans="1:10" ht="30" customHeight="1">
      <c r="A8" s="2"/>
      <c r="B8" s="2"/>
      <c r="C8" s="2"/>
      <c r="D8" s="376" t="s">
        <v>145</v>
      </c>
      <c r="E8" s="376"/>
      <c r="F8" s="376"/>
      <c r="G8" s="376"/>
      <c r="H8" s="2"/>
      <c r="I8" s="2"/>
      <c r="J8" s="2"/>
    </row>
    <row r="9" spans="1:10" ht="30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4.5" customHeight="1">
      <c r="A10" s="2"/>
      <c r="B10" s="2" t="s">
        <v>146</v>
      </c>
      <c r="C10" s="2"/>
      <c r="D10" s="2"/>
      <c r="E10" s="2"/>
      <c r="F10" s="2"/>
      <c r="G10" s="2"/>
      <c r="H10" s="2"/>
      <c r="I10" s="2"/>
      <c r="J10" s="2"/>
    </row>
    <row r="11" spans="1:10" ht="23.25">
      <c r="A11" s="2" t="s">
        <v>155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3.25">
      <c r="A12" s="2" t="s">
        <v>147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3.25">
      <c r="A13" s="2" t="s">
        <v>150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3.25">
      <c r="A14" s="2" t="s">
        <v>151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6.25" customHeight="1">
      <c r="A15" s="2" t="s">
        <v>152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41.25" customHeight="1">
      <c r="A16" s="2"/>
      <c r="B16" s="2" t="s">
        <v>148</v>
      </c>
      <c r="C16" s="2"/>
      <c r="D16" s="2"/>
      <c r="E16" s="2"/>
      <c r="F16" s="2"/>
      <c r="G16" s="2"/>
      <c r="H16" s="2"/>
      <c r="I16" s="2"/>
      <c r="J16" s="2"/>
    </row>
    <row r="17" spans="1:10" ht="22.5" customHeight="1">
      <c r="A17" s="2"/>
      <c r="B17" s="2"/>
      <c r="C17" s="2"/>
      <c r="D17" s="2"/>
      <c r="E17" s="2" t="s">
        <v>156</v>
      </c>
      <c r="F17" s="2"/>
      <c r="G17" s="2"/>
      <c r="H17" s="2"/>
      <c r="I17" s="2"/>
      <c r="J17" s="2"/>
    </row>
    <row r="18" spans="1:10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3.25">
      <c r="A19" s="2"/>
      <c r="B19" s="2"/>
      <c r="C19" s="2"/>
      <c r="D19" s="2"/>
      <c r="E19" s="5"/>
      <c r="F19" s="4"/>
      <c r="G19" s="4"/>
      <c r="H19" s="4"/>
      <c r="I19" s="2"/>
      <c r="J19" s="2"/>
    </row>
    <row r="20" spans="1:10" ht="23.25">
      <c r="A20" s="2"/>
      <c r="B20" s="2"/>
      <c r="C20" s="2"/>
      <c r="D20" s="4"/>
      <c r="E20" s="376" t="s">
        <v>149</v>
      </c>
      <c r="F20" s="376"/>
      <c r="G20" s="376"/>
      <c r="H20" s="376"/>
      <c r="I20" s="4"/>
      <c r="J20" s="2"/>
    </row>
    <row r="21" spans="1:10" ht="23.25">
      <c r="A21" s="2"/>
      <c r="B21" s="2"/>
      <c r="C21" s="2"/>
      <c r="D21" s="2"/>
      <c r="E21" s="376" t="s">
        <v>116</v>
      </c>
      <c r="F21" s="376"/>
      <c r="G21" s="376"/>
      <c r="H21" s="376"/>
      <c r="I21" s="2"/>
      <c r="J21" s="2"/>
    </row>
    <row r="22" spans="1:10" ht="23.25">
      <c r="A22" s="2"/>
      <c r="B22" s="2"/>
      <c r="C22" s="2"/>
      <c r="D22" s="2"/>
      <c r="E22" s="4"/>
      <c r="F22" s="4"/>
      <c r="G22" s="4"/>
      <c r="H22" s="4"/>
      <c r="I22" s="2"/>
      <c r="J22" s="2"/>
    </row>
    <row r="23" spans="1:10" ht="23.25">
      <c r="A23" s="2"/>
      <c r="B23" s="2"/>
      <c r="C23" s="2"/>
      <c r="D23" s="2"/>
      <c r="E23" s="4"/>
      <c r="F23" s="4"/>
      <c r="G23" s="4"/>
      <c r="H23" s="4"/>
      <c r="I23" s="2"/>
      <c r="J23" s="2"/>
    </row>
    <row r="24" spans="1:10" ht="23.25">
      <c r="A24" s="2"/>
      <c r="B24" s="2"/>
      <c r="C24" s="2"/>
      <c r="D24" s="2"/>
      <c r="E24" s="4"/>
      <c r="F24" s="4"/>
      <c r="G24" s="4"/>
      <c r="H24" s="4"/>
      <c r="I24" s="2"/>
      <c r="J24" s="2"/>
    </row>
    <row r="25" spans="1:10" ht="24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8" ht="23.25" customHeight="1"/>
    <row r="29" ht="51" customHeight="1"/>
    <row r="30" spans="1:10" ht="21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1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1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1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1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1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21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2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4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4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4">
      <c r="A41" s="2" t="s">
        <v>47</v>
      </c>
      <c r="B41" s="1"/>
      <c r="C41" s="1"/>
      <c r="D41" s="1"/>
      <c r="E41" s="1"/>
      <c r="F41" s="1"/>
      <c r="G41" s="2" t="s">
        <v>48</v>
      </c>
      <c r="H41" s="1"/>
      <c r="I41" s="1"/>
      <c r="J41" s="1"/>
    </row>
    <row r="42" spans="1:10" ht="24">
      <c r="A42" s="1"/>
      <c r="B42" s="1"/>
      <c r="C42" s="1"/>
      <c r="D42" s="1"/>
      <c r="E42" s="1"/>
      <c r="F42" s="1"/>
      <c r="G42" s="2" t="s">
        <v>49</v>
      </c>
      <c r="H42" s="1"/>
      <c r="I42" s="1"/>
      <c r="J42" s="1"/>
    </row>
    <row r="43" spans="1:10" ht="23.25">
      <c r="A43" s="2"/>
      <c r="B43" s="2"/>
      <c r="C43" s="2"/>
      <c r="D43" s="2"/>
      <c r="E43" s="2"/>
      <c r="F43" s="3" t="s">
        <v>57</v>
      </c>
      <c r="G43" s="2"/>
      <c r="H43" s="2"/>
      <c r="I43" s="2"/>
      <c r="J43" s="2"/>
    </row>
    <row r="44" spans="1:10" ht="27.75" customHeight="1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27.75" customHeight="1">
      <c r="A45" s="2" t="s">
        <v>58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27.75" customHeight="1">
      <c r="A46" s="2" t="s">
        <v>63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23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3.25">
      <c r="A48" s="2"/>
      <c r="B48" s="2" t="s">
        <v>59</v>
      </c>
      <c r="C48" s="2"/>
      <c r="D48" s="2"/>
      <c r="E48" s="2"/>
      <c r="F48" s="2"/>
      <c r="G48" s="2"/>
      <c r="H48" s="2"/>
      <c r="I48" s="2"/>
      <c r="J48" s="2"/>
    </row>
    <row r="49" spans="1:10" ht="23.2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3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3.25">
      <c r="A51" s="2"/>
      <c r="B51" s="2" t="s">
        <v>61</v>
      </c>
      <c r="C51" s="2"/>
      <c r="D51" s="2"/>
      <c r="E51" s="2"/>
      <c r="F51" s="2"/>
      <c r="G51" s="2"/>
      <c r="H51" s="2"/>
      <c r="I51" s="2"/>
      <c r="J51" s="2"/>
    </row>
    <row r="52" spans="1:10" ht="23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3.25">
      <c r="A53" s="2"/>
      <c r="B53" s="2"/>
      <c r="C53" s="2"/>
      <c r="D53" s="2"/>
      <c r="E53" s="376" t="s">
        <v>52</v>
      </c>
      <c r="F53" s="376"/>
      <c r="G53" s="376"/>
      <c r="H53" s="376"/>
      <c r="I53" s="2"/>
      <c r="J53" s="2"/>
    </row>
    <row r="54" spans="1:10" ht="23.25">
      <c r="A54" s="2"/>
      <c r="B54" s="2"/>
      <c r="C54" s="2"/>
      <c r="D54" s="2"/>
      <c r="E54" s="4"/>
      <c r="F54" s="4"/>
      <c r="G54" s="4"/>
      <c r="H54" s="4"/>
      <c r="I54" s="2"/>
      <c r="J54" s="2"/>
    </row>
    <row r="55" spans="1:10" ht="23.25">
      <c r="A55" s="2"/>
      <c r="B55" s="2"/>
      <c r="C55" s="2"/>
      <c r="D55" s="2"/>
      <c r="E55" s="4"/>
      <c r="F55" s="4"/>
      <c r="G55" s="4"/>
      <c r="H55" s="4"/>
      <c r="I55" s="2"/>
      <c r="J55" s="2"/>
    </row>
    <row r="56" spans="1:10" ht="23.25">
      <c r="A56" s="2"/>
      <c r="B56" s="2"/>
      <c r="C56" s="2"/>
      <c r="D56" s="2" t="s">
        <v>53</v>
      </c>
      <c r="E56" s="376" t="s">
        <v>62</v>
      </c>
      <c r="F56" s="376"/>
      <c r="G56" s="376"/>
      <c r="H56" s="376"/>
      <c r="I56" s="2"/>
      <c r="J56" s="2"/>
    </row>
    <row r="57" spans="1:10" ht="23.25">
      <c r="A57" s="2"/>
      <c r="B57" s="2"/>
      <c r="C57" s="2"/>
      <c r="D57" s="4"/>
      <c r="E57" s="376" t="s">
        <v>54</v>
      </c>
      <c r="F57" s="376"/>
      <c r="G57" s="376"/>
      <c r="H57" s="376"/>
      <c r="I57" s="4"/>
      <c r="J57" s="2"/>
    </row>
    <row r="58" spans="1:10" ht="23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3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3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4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4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4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4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4">
      <c r="A65" s="1" t="s">
        <v>51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4">
      <c r="A66" s="1" t="s">
        <v>50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4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4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4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1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1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1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1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1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1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1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1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21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21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21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21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21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21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21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21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21.75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sheetProtection/>
  <mergeCells count="7">
    <mergeCell ref="E57:H57"/>
    <mergeCell ref="E20:H20"/>
    <mergeCell ref="E53:H53"/>
    <mergeCell ref="D6:G6"/>
    <mergeCell ref="D8:G8"/>
    <mergeCell ref="E21:H21"/>
    <mergeCell ref="E56:H56"/>
  </mergeCells>
  <printOptions/>
  <pageMargins left="0.9448818897637796" right="0" top="0.7874015748031497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8"/>
  <sheetViews>
    <sheetView zoomScalePageLayoutView="0" workbookViewId="0" topLeftCell="A174">
      <selection activeCell="D188" sqref="D188"/>
    </sheetView>
  </sheetViews>
  <sheetFormatPr defaultColWidth="9.140625" defaultRowHeight="21.75"/>
  <cols>
    <col min="1" max="1" width="4.140625" style="19" customWidth="1"/>
    <col min="2" max="2" width="53.00390625" style="19" customWidth="1"/>
    <col min="3" max="3" width="18.00390625" style="19" customWidth="1"/>
    <col min="4" max="4" width="21.8515625" style="19" customWidth="1"/>
    <col min="5" max="6" width="9.140625" style="19" customWidth="1"/>
    <col min="7" max="7" width="20.00390625" style="19" customWidth="1"/>
    <col min="8" max="8" width="11.00390625" style="19" bestFit="1" customWidth="1"/>
    <col min="9" max="16384" width="9.140625" style="19" customWidth="1"/>
  </cols>
  <sheetData>
    <row r="1" ht="8.25" customHeight="1"/>
    <row r="2" spans="2:4" s="7" customFormat="1" ht="19.5" customHeight="1">
      <c r="B2" s="336" t="s">
        <v>371</v>
      </c>
      <c r="C2" s="336"/>
      <c r="D2" s="336"/>
    </row>
    <row r="3" spans="2:4" s="7" customFormat="1" ht="19.5" customHeight="1">
      <c r="B3" s="336" t="s">
        <v>344</v>
      </c>
      <c r="C3" s="336"/>
      <c r="D3" s="336"/>
    </row>
    <row r="4" spans="2:4" s="7" customFormat="1" ht="18.75" customHeight="1">
      <c r="B4" s="336" t="s">
        <v>390</v>
      </c>
      <c r="C4" s="336"/>
      <c r="D4" s="336"/>
    </row>
    <row r="5" spans="2:4" s="174" customFormat="1" ht="25.5" customHeight="1">
      <c r="B5" s="249" t="s">
        <v>78</v>
      </c>
      <c r="C5" s="249" t="s">
        <v>345</v>
      </c>
      <c r="D5" s="249" t="s">
        <v>346</v>
      </c>
    </row>
    <row r="6" spans="2:4" s="250" customFormat="1" ht="19.5" customHeight="1">
      <c r="B6" s="251" t="s">
        <v>347</v>
      </c>
      <c r="C6" s="252"/>
      <c r="D6" s="252"/>
    </row>
    <row r="7" spans="2:4" s="250" customFormat="1" ht="21" customHeight="1">
      <c r="B7" s="253" t="s">
        <v>348</v>
      </c>
      <c r="C7" s="254">
        <v>1071152.45</v>
      </c>
      <c r="D7" s="254">
        <f>5398660.6+1071152.45</f>
        <v>6469813.05</v>
      </c>
    </row>
    <row r="8" spans="2:4" s="250" customFormat="1" ht="21" customHeight="1">
      <c r="B8" s="253" t="s">
        <v>374</v>
      </c>
      <c r="C8" s="254">
        <v>213195.57</v>
      </c>
      <c r="D8" s="254">
        <f>10522.52+429650+13926+100000+24450+80638+126200+135552+44054+218078.36+213195.57</f>
        <v>1396266.45</v>
      </c>
    </row>
    <row r="9" spans="2:4" s="250" customFormat="1" ht="21.75" customHeight="1">
      <c r="B9" s="253" t="s">
        <v>38</v>
      </c>
      <c r="C9" s="254">
        <v>0</v>
      </c>
      <c r="D9" s="254">
        <v>7.1</v>
      </c>
    </row>
    <row r="10" spans="2:4" s="250" customFormat="1" ht="21" customHeight="1">
      <c r="B10" s="253" t="s">
        <v>349</v>
      </c>
      <c r="C10" s="254">
        <v>0</v>
      </c>
      <c r="D10" s="254">
        <v>0</v>
      </c>
    </row>
    <row r="11" spans="2:4" s="250" customFormat="1" ht="21" customHeight="1">
      <c r="B11" s="253" t="s">
        <v>350</v>
      </c>
      <c r="C11" s="254">
        <v>0</v>
      </c>
      <c r="D11" s="254">
        <v>0</v>
      </c>
    </row>
    <row r="12" spans="2:4" s="250" customFormat="1" ht="23.25" customHeight="1">
      <c r="B12" s="253" t="s">
        <v>351</v>
      </c>
      <c r="C12" s="254">
        <v>0</v>
      </c>
      <c r="D12" s="254">
        <v>0</v>
      </c>
    </row>
    <row r="13" spans="2:4" s="250" customFormat="1" ht="22.5" customHeight="1">
      <c r="B13" s="253" t="s">
        <v>352</v>
      </c>
      <c r="C13" s="254">
        <v>0</v>
      </c>
      <c r="D13" s="254">
        <v>2566</v>
      </c>
    </row>
    <row r="14" spans="2:4" s="250" customFormat="1" ht="21" customHeight="1">
      <c r="B14" s="253" t="s">
        <v>103</v>
      </c>
      <c r="C14" s="254">
        <v>422000</v>
      </c>
      <c r="D14" s="254">
        <f>440600+564400+422000</f>
        <v>1427000</v>
      </c>
    </row>
    <row r="15" spans="2:4" s="250" customFormat="1" ht="21" customHeight="1">
      <c r="B15" s="253" t="s">
        <v>353</v>
      </c>
      <c r="C15" s="254">
        <v>0</v>
      </c>
      <c r="D15" s="254">
        <v>0</v>
      </c>
    </row>
    <row r="16" spans="2:4" s="250" customFormat="1" ht="23.25" customHeight="1">
      <c r="B16" s="253" t="s">
        <v>354</v>
      </c>
      <c r="C16" s="254">
        <v>0</v>
      </c>
      <c r="D16" s="254">
        <v>0</v>
      </c>
    </row>
    <row r="17" spans="2:4" s="250" customFormat="1" ht="24.75" customHeight="1">
      <c r="B17" s="255" t="s">
        <v>46</v>
      </c>
      <c r="C17" s="256">
        <f>SUM(C7:C16)</f>
        <v>1706348.02</v>
      </c>
      <c r="D17" s="256">
        <f>SUM(D7:D16)</f>
        <v>9295652.6</v>
      </c>
    </row>
    <row r="18" spans="2:4" s="250" customFormat="1" ht="19.5" customHeight="1">
      <c r="B18" s="251" t="s">
        <v>92</v>
      </c>
      <c r="C18" s="252"/>
      <c r="D18" s="252"/>
    </row>
    <row r="19" spans="2:4" s="250" customFormat="1" ht="21" customHeight="1">
      <c r="B19" s="253" t="s">
        <v>355</v>
      </c>
      <c r="C19" s="254">
        <v>2111541.59</v>
      </c>
      <c r="D19" s="254">
        <f>3165026.84-0.9+2261289.14+2111541.59</f>
        <v>7537856.67</v>
      </c>
    </row>
    <row r="20" spans="2:4" s="250" customFormat="1" ht="21" customHeight="1">
      <c r="B20" s="253" t="s">
        <v>375</v>
      </c>
      <c r="C20" s="254">
        <f>475003.74</f>
        <v>475003.74</v>
      </c>
      <c r="D20" s="254">
        <f>12587.69+16050+13926+100000+80638+126200+135552+44054+376194.02+475003.74</f>
        <v>1380205.45</v>
      </c>
    </row>
    <row r="21" spans="2:4" s="250" customFormat="1" ht="21.75" customHeight="1">
      <c r="B21" s="253" t="s">
        <v>356</v>
      </c>
      <c r="C21" s="254">
        <v>0</v>
      </c>
      <c r="D21" s="254">
        <v>0</v>
      </c>
    </row>
    <row r="22" spans="2:4" s="250" customFormat="1" ht="21" customHeight="1">
      <c r="B22" s="253" t="s">
        <v>357</v>
      </c>
      <c r="C22" s="254">
        <v>0</v>
      </c>
      <c r="D22" s="254">
        <v>0</v>
      </c>
    </row>
    <row r="23" spans="2:4" s="250" customFormat="1" ht="21" customHeight="1">
      <c r="B23" s="253" t="s">
        <v>376</v>
      </c>
      <c r="C23" s="254">
        <v>17238.5</v>
      </c>
      <c r="D23" s="254">
        <f>728800+392500+17238.5</f>
        <v>1138538.5</v>
      </c>
    </row>
    <row r="24" spans="2:4" s="250" customFormat="1" ht="21.75" customHeight="1">
      <c r="B24" s="253" t="s">
        <v>351</v>
      </c>
      <c r="C24" s="254">
        <v>0</v>
      </c>
      <c r="D24" s="254">
        <v>0</v>
      </c>
    </row>
    <row r="25" spans="2:4" s="250" customFormat="1" ht="19.5" customHeight="1">
      <c r="B25" s="253" t="s">
        <v>201</v>
      </c>
      <c r="C25" s="254">
        <v>0</v>
      </c>
      <c r="D25" s="254">
        <v>2566</v>
      </c>
    </row>
    <row r="26" spans="2:4" s="250" customFormat="1" ht="19.5" customHeight="1">
      <c r="B26" s="253" t="s">
        <v>103</v>
      </c>
      <c r="C26" s="254">
        <v>422000</v>
      </c>
      <c r="D26" s="254">
        <f>440600+564400+422000</f>
        <v>1427000</v>
      </c>
    </row>
    <row r="27" spans="2:4" s="250" customFormat="1" ht="20.25" customHeight="1">
      <c r="B27" s="253" t="s">
        <v>231</v>
      </c>
      <c r="C27" s="254">
        <v>0</v>
      </c>
      <c r="D27" s="254">
        <v>0</v>
      </c>
    </row>
    <row r="28" spans="2:4" s="250" customFormat="1" ht="22.5" customHeight="1">
      <c r="B28" s="253" t="s">
        <v>354</v>
      </c>
      <c r="C28" s="254">
        <v>0</v>
      </c>
      <c r="D28" s="254">
        <v>0</v>
      </c>
    </row>
    <row r="29" spans="2:4" s="250" customFormat="1" ht="24.75" customHeight="1">
      <c r="B29" s="255" t="s">
        <v>46</v>
      </c>
      <c r="C29" s="256">
        <f>SUM(C19:C28)</f>
        <v>3025783.83</v>
      </c>
      <c r="D29" s="256">
        <f>SUM(D19:D28)</f>
        <v>11486166.62</v>
      </c>
    </row>
    <row r="30" spans="2:4" s="257" customFormat="1" ht="25.5" customHeight="1">
      <c r="B30" s="255" t="s">
        <v>358</v>
      </c>
      <c r="C30" s="258">
        <f>SUM(C17-C29)</f>
        <v>-1319435.81</v>
      </c>
      <c r="D30" s="258">
        <f>SUM(D17-D29)</f>
        <v>-2190514.0199999996</v>
      </c>
    </row>
    <row r="31" ht="24.75" customHeight="1"/>
    <row r="32" ht="24.75" customHeight="1"/>
    <row r="33" spans="1:4" s="250" customFormat="1" ht="22.5" customHeight="1">
      <c r="A33" s="259" t="s">
        <v>377</v>
      </c>
      <c r="B33" s="260"/>
      <c r="D33" s="260"/>
    </row>
    <row r="34" spans="1:4" s="250" customFormat="1" ht="22.5" customHeight="1">
      <c r="A34" s="259" t="s">
        <v>378</v>
      </c>
      <c r="B34" s="260"/>
      <c r="D34" s="260"/>
    </row>
    <row r="35" s="261" customFormat="1" ht="19.5" customHeight="1">
      <c r="B35" s="261" t="s">
        <v>1</v>
      </c>
    </row>
    <row r="37" spans="1:5" ht="24">
      <c r="A37" s="7"/>
      <c r="B37" s="336" t="s">
        <v>371</v>
      </c>
      <c r="C37" s="336"/>
      <c r="D37" s="336"/>
      <c r="E37" s="7"/>
    </row>
    <row r="38" spans="1:5" ht="24">
      <c r="A38" s="7"/>
      <c r="B38" s="336" t="s">
        <v>344</v>
      </c>
      <c r="C38" s="336"/>
      <c r="D38" s="336"/>
      <c r="E38" s="7"/>
    </row>
    <row r="39" spans="1:5" ht="24">
      <c r="A39" s="7"/>
      <c r="B39" s="336" t="s">
        <v>444</v>
      </c>
      <c r="C39" s="336"/>
      <c r="D39" s="336"/>
      <c r="E39" s="7"/>
    </row>
    <row r="40" spans="1:5" ht="24">
      <c r="A40" s="174"/>
      <c r="B40" s="249" t="s">
        <v>78</v>
      </c>
      <c r="C40" s="249" t="s">
        <v>345</v>
      </c>
      <c r="D40" s="249" t="s">
        <v>346</v>
      </c>
      <c r="E40" s="174"/>
    </row>
    <row r="41" spans="1:5" ht="23.25">
      <c r="A41" s="250"/>
      <c r="B41" s="251" t="s">
        <v>347</v>
      </c>
      <c r="C41" s="252"/>
      <c r="D41" s="252"/>
      <c r="E41" s="250"/>
    </row>
    <row r="42" spans="1:5" ht="23.25">
      <c r="A42" s="250"/>
      <c r="B42" s="253" t="s">
        <v>348</v>
      </c>
      <c r="C42" s="254">
        <v>2299093.58</v>
      </c>
      <c r="D42" s="254">
        <v>15472188.47</v>
      </c>
      <c r="E42" s="250"/>
    </row>
    <row r="43" spans="1:5" ht="23.25">
      <c r="A43" s="250"/>
      <c r="B43" s="253" t="s">
        <v>374</v>
      </c>
      <c r="C43" s="254">
        <f>ประกอบงบทดลอง!D393</f>
        <v>219722.1</v>
      </c>
      <c r="D43" s="254">
        <f>'รับ-จ่ายนิว'!C579+'รับ-จ่ายนิว'!C580+'รับ-จ่ายนิว'!C581+'รับ-จ่ายนิว'!C582+'รับ-จ่ายนิว'!C583+'รับ-จ่ายนิว'!C584+'รับ-จ่ายนิว'!C585+'รับ-จ่ายนิว'!C586+'รับ-จ่ายนิว'!C587+'รับ-จ่ายนิว'!C588+'รับ-จ่ายนิว'!C589+'รับ-จ่ายนิว'!C590</f>
        <v>2021276.27</v>
      </c>
      <c r="E43" s="250"/>
    </row>
    <row r="44" spans="1:5" ht="23.25">
      <c r="A44" s="250"/>
      <c r="B44" s="253" t="s">
        <v>38</v>
      </c>
      <c r="C44" s="254">
        <v>0</v>
      </c>
      <c r="D44" s="254">
        <v>7.1</v>
      </c>
      <c r="E44" s="250"/>
    </row>
    <row r="45" spans="1:5" ht="23.25">
      <c r="A45" s="250"/>
      <c r="B45" s="253" t="s">
        <v>349</v>
      </c>
      <c r="C45" s="254">
        <v>0</v>
      </c>
      <c r="D45" s="254">
        <v>0</v>
      </c>
      <c r="E45" s="250"/>
    </row>
    <row r="46" spans="1:5" ht="23.25">
      <c r="A46" s="250"/>
      <c r="B46" s="253" t="s">
        <v>350</v>
      </c>
      <c r="C46" s="254">
        <v>0</v>
      </c>
      <c r="D46" s="254">
        <v>0</v>
      </c>
      <c r="E46" s="250"/>
    </row>
    <row r="47" spans="1:5" ht="23.25">
      <c r="A47" s="250"/>
      <c r="B47" s="253" t="s">
        <v>351</v>
      </c>
      <c r="C47" s="254">
        <v>0</v>
      </c>
      <c r="D47" s="254">
        <v>0</v>
      </c>
      <c r="E47" s="250"/>
    </row>
    <row r="48" spans="1:5" ht="23.25">
      <c r="A48" s="250"/>
      <c r="B48" s="253" t="s">
        <v>352</v>
      </c>
      <c r="C48" s="254">
        <v>0</v>
      </c>
      <c r="D48" s="254">
        <v>2566</v>
      </c>
      <c r="E48" s="250"/>
    </row>
    <row r="49" spans="1:5" ht="23.25">
      <c r="A49" s="250"/>
      <c r="B49" s="253" t="s">
        <v>103</v>
      </c>
      <c r="C49" s="254">
        <f>'รับ-จ่ายนิว'!I578</f>
        <v>422400</v>
      </c>
      <c r="D49" s="254">
        <v>2944700</v>
      </c>
      <c r="E49" s="250"/>
    </row>
    <row r="50" spans="1:5" ht="23.25">
      <c r="A50" s="250"/>
      <c r="B50" s="253" t="s">
        <v>353</v>
      </c>
      <c r="C50" s="254">
        <v>0</v>
      </c>
      <c r="D50" s="254">
        <v>0</v>
      </c>
      <c r="E50" s="250"/>
    </row>
    <row r="51" spans="1:5" ht="23.25">
      <c r="A51" s="250"/>
      <c r="B51" s="253" t="s">
        <v>354</v>
      </c>
      <c r="C51" s="254">
        <v>0</v>
      </c>
      <c r="D51" s="254">
        <v>0</v>
      </c>
      <c r="E51" s="250"/>
    </row>
    <row r="52" spans="1:5" ht="23.25">
      <c r="A52" s="250"/>
      <c r="B52" s="255" t="s">
        <v>46</v>
      </c>
      <c r="C52" s="256">
        <f>SUM(C42:C51)</f>
        <v>2941215.68</v>
      </c>
      <c r="D52" s="256">
        <f>SUM(D42:D51)</f>
        <v>20440737.840000004</v>
      </c>
      <c r="E52" s="250"/>
    </row>
    <row r="53" spans="1:5" ht="23.25">
      <c r="A53" s="250"/>
      <c r="B53" s="251" t="s">
        <v>92</v>
      </c>
      <c r="C53" s="252"/>
      <c r="D53" s="252"/>
      <c r="E53" s="250"/>
    </row>
    <row r="54" spans="1:5" ht="23.25">
      <c r="A54" s="250"/>
      <c r="B54" s="253" t="s">
        <v>355</v>
      </c>
      <c r="C54" s="254">
        <v>1791707.24</v>
      </c>
      <c r="D54" s="254">
        <v>12757159.1</v>
      </c>
      <c r="E54" s="250"/>
    </row>
    <row r="55" spans="1:5" ht="23.25">
      <c r="A55" s="250"/>
      <c r="B55" s="253" t="s">
        <v>375</v>
      </c>
      <c r="C55" s="254">
        <f>ประกอบงบทดลอง!E393</f>
        <v>173353.37</v>
      </c>
      <c r="D55" s="254">
        <f>'รับ-จ่ายนิว'!C631+'รับ-จ่ายนิว'!C632+'รับ-จ่ายนิว'!C633+'รับ-จ่ายนิว'!C634+'รับ-จ่ายนิว'!C635+'รับ-จ่ายนิว'!C636+'รับ-จ่ายนิว'!C637+'รับ-จ่ายนิว'!C638+'รับ-จ่ายนิว'!C639+'รับ-จ่ายนิว'!C640</f>
        <v>1940627.25</v>
      </c>
      <c r="E55" s="250"/>
    </row>
    <row r="56" spans="1:5" ht="23.25">
      <c r="A56" s="250"/>
      <c r="B56" s="253" t="s">
        <v>356</v>
      </c>
      <c r="C56" s="254">
        <v>0</v>
      </c>
      <c r="D56" s="254">
        <v>0</v>
      </c>
      <c r="E56" s="250"/>
    </row>
    <row r="57" spans="1:5" ht="23.25">
      <c r="A57" s="250"/>
      <c r="B57" s="253" t="s">
        <v>357</v>
      </c>
      <c r="C57" s="254">
        <v>0</v>
      </c>
      <c r="D57" s="254">
        <v>0</v>
      </c>
      <c r="E57" s="250"/>
    </row>
    <row r="58" spans="1:5" ht="23.25">
      <c r="A58" s="250"/>
      <c r="B58" s="253" t="s">
        <v>376</v>
      </c>
      <c r="C58" s="254">
        <v>0</v>
      </c>
      <c r="D58" s="254">
        <f>'รับ-จ่ายนิว'!C537</f>
        <v>1521038.5</v>
      </c>
      <c r="E58" s="250"/>
    </row>
    <row r="59" spans="1:5" ht="23.25">
      <c r="A59" s="250"/>
      <c r="B59" s="253" t="s">
        <v>351</v>
      </c>
      <c r="C59" s="254">
        <v>0</v>
      </c>
      <c r="D59" s="254">
        <v>0</v>
      </c>
      <c r="E59" s="250"/>
    </row>
    <row r="60" spans="1:5" ht="23.25">
      <c r="A60" s="250"/>
      <c r="B60" s="253" t="s">
        <v>201</v>
      </c>
      <c r="C60" s="254">
        <v>0</v>
      </c>
      <c r="D60" s="254">
        <v>2566</v>
      </c>
      <c r="E60" s="250"/>
    </row>
    <row r="61" spans="1:5" ht="23.25">
      <c r="A61" s="250"/>
      <c r="B61" s="253" t="s">
        <v>103</v>
      </c>
      <c r="C61" s="254">
        <f>'รับ-จ่ายนิว'!I629</f>
        <v>422400</v>
      </c>
      <c r="D61" s="254">
        <f>'รับ-จ่ายนิว'!C629</f>
        <v>2944700</v>
      </c>
      <c r="E61" s="250"/>
    </row>
    <row r="62" spans="1:5" ht="23.25">
      <c r="A62" s="250"/>
      <c r="B62" s="253" t="s">
        <v>231</v>
      </c>
      <c r="C62" s="254">
        <v>0</v>
      </c>
      <c r="D62" s="254">
        <v>0</v>
      </c>
      <c r="E62" s="250"/>
    </row>
    <row r="63" spans="1:5" ht="23.25">
      <c r="A63" s="250"/>
      <c r="B63" s="255" t="s">
        <v>46</v>
      </c>
      <c r="C63" s="256">
        <f>SUM(C54:C62)</f>
        <v>2387460.61</v>
      </c>
      <c r="D63" s="256">
        <f>SUM(D54:D62)</f>
        <v>19166090.85</v>
      </c>
      <c r="E63" s="250"/>
    </row>
    <row r="64" spans="1:5" ht="23.25">
      <c r="A64" s="257"/>
      <c r="B64" s="255" t="s">
        <v>358</v>
      </c>
      <c r="C64" s="258">
        <f>SUM(C52-C63)</f>
        <v>553755.0700000003</v>
      </c>
      <c r="D64" s="258">
        <f>SUM(D52-D63)</f>
        <v>1274646.990000002</v>
      </c>
      <c r="E64" s="257"/>
    </row>
    <row r="65" spans="4:7" ht="21.75">
      <c r="D65" s="19" t="s">
        <v>447</v>
      </c>
      <c r="G65" s="51"/>
    </row>
    <row r="67" spans="1:5" ht="23.25">
      <c r="A67" s="259" t="s">
        <v>445</v>
      </c>
      <c r="B67" s="260"/>
      <c r="C67" s="250"/>
      <c r="D67" s="260"/>
      <c r="E67" s="250"/>
    </row>
    <row r="68" spans="1:5" ht="23.25">
      <c r="A68" s="259" t="s">
        <v>446</v>
      </c>
      <c r="B68" s="260"/>
      <c r="C68" s="250"/>
      <c r="D68" s="260"/>
      <c r="E68" s="250"/>
    </row>
    <row r="69" spans="1:5" ht="21.75">
      <c r="A69" s="261"/>
      <c r="B69" s="261" t="s">
        <v>337</v>
      </c>
      <c r="C69" s="261"/>
      <c r="D69" s="261"/>
      <c r="E69" s="261"/>
    </row>
    <row r="70" spans="1:5" ht="24">
      <c r="A70" s="7"/>
      <c r="B70" s="336" t="s">
        <v>371</v>
      </c>
      <c r="C70" s="336"/>
      <c r="D70" s="336"/>
      <c r="E70" s="7"/>
    </row>
    <row r="71" spans="1:5" ht="24">
      <c r="A71" s="7"/>
      <c r="B71" s="336" t="s">
        <v>344</v>
      </c>
      <c r="C71" s="336"/>
      <c r="D71" s="336"/>
      <c r="E71" s="7"/>
    </row>
    <row r="72" spans="1:5" ht="24">
      <c r="A72" s="7"/>
      <c r="B72" s="336" t="s">
        <v>470</v>
      </c>
      <c r="C72" s="336"/>
      <c r="D72" s="336"/>
      <c r="E72" s="7"/>
    </row>
    <row r="73" spans="1:5" ht="24">
      <c r="A73" s="174"/>
      <c r="B73" s="249" t="s">
        <v>78</v>
      </c>
      <c r="C73" s="249" t="s">
        <v>345</v>
      </c>
      <c r="D73" s="249" t="s">
        <v>346</v>
      </c>
      <c r="E73" s="174"/>
    </row>
    <row r="74" spans="1:5" ht="23.25">
      <c r="A74" s="250"/>
      <c r="B74" s="251" t="s">
        <v>347</v>
      </c>
      <c r="C74" s="252"/>
      <c r="D74" s="252"/>
      <c r="E74" s="250"/>
    </row>
    <row r="75" spans="1:5" ht="23.25">
      <c r="A75" s="250"/>
      <c r="B75" s="253" t="s">
        <v>348</v>
      </c>
      <c r="C75" s="254">
        <v>1974982.03</v>
      </c>
      <c r="D75" s="254">
        <v>17447170.5</v>
      </c>
      <c r="E75" s="250"/>
    </row>
    <row r="76" spans="1:5" ht="23.25">
      <c r="A76" s="250"/>
      <c r="B76" s="253" t="s">
        <v>374</v>
      </c>
      <c r="C76" s="254">
        <f>3671.78+7853+139.39+100000+19625+31800+31700+38168+29104</f>
        <v>262061.16999999998</v>
      </c>
      <c r="D76" s="254">
        <f>47272.15+58194+2658.79+4.07+200468.43+78000+274817+399100+533441+209732+50000+429650</f>
        <v>2283337.44</v>
      </c>
      <c r="E76" s="250"/>
    </row>
    <row r="77" spans="1:5" ht="23.25">
      <c r="A77" s="250"/>
      <c r="B77" s="253" t="s">
        <v>38</v>
      </c>
      <c r="C77" s="254">
        <v>0</v>
      </c>
      <c r="D77" s="254">
        <v>7.1</v>
      </c>
      <c r="E77" s="250"/>
    </row>
    <row r="78" spans="1:5" ht="23.25">
      <c r="A78" s="250"/>
      <c r="B78" s="253" t="s">
        <v>349</v>
      </c>
      <c r="C78" s="254">
        <v>0</v>
      </c>
      <c r="D78" s="254">
        <v>0</v>
      </c>
      <c r="E78" s="250"/>
    </row>
    <row r="79" spans="1:5" ht="23.25">
      <c r="A79" s="250"/>
      <c r="B79" s="253" t="s">
        <v>350</v>
      </c>
      <c r="C79" s="254">
        <v>0</v>
      </c>
      <c r="D79" s="254">
        <v>0</v>
      </c>
      <c r="E79" s="250"/>
    </row>
    <row r="80" spans="1:5" ht="23.25">
      <c r="A80" s="250"/>
      <c r="B80" s="253" t="s">
        <v>351</v>
      </c>
      <c r="C80" s="254">
        <v>0</v>
      </c>
      <c r="D80" s="254">
        <v>0</v>
      </c>
      <c r="E80" s="250"/>
    </row>
    <row r="81" spans="1:5" ht="23.25">
      <c r="A81" s="250"/>
      <c r="B81" s="253" t="s">
        <v>352</v>
      </c>
      <c r="C81" s="254">
        <v>0</v>
      </c>
      <c r="D81" s="254">
        <v>2566</v>
      </c>
      <c r="E81" s="250"/>
    </row>
    <row r="82" spans="1:5" ht="23.25">
      <c r="A82" s="250"/>
      <c r="B82" s="253" t="s">
        <v>103</v>
      </c>
      <c r="C82" s="254">
        <v>420300</v>
      </c>
      <c r="D82" s="254">
        <v>3365000</v>
      </c>
      <c r="E82" s="250"/>
    </row>
    <row r="83" spans="1:5" ht="23.25">
      <c r="A83" s="250"/>
      <c r="B83" s="253" t="s">
        <v>353</v>
      </c>
      <c r="C83" s="254">
        <v>0</v>
      </c>
      <c r="D83" s="254">
        <v>0</v>
      </c>
      <c r="E83" s="250"/>
    </row>
    <row r="84" spans="1:5" ht="23.25">
      <c r="A84" s="250"/>
      <c r="B84" s="253" t="s">
        <v>354</v>
      </c>
      <c r="C84" s="254">
        <v>0</v>
      </c>
      <c r="D84" s="254">
        <v>0</v>
      </c>
      <c r="E84" s="250"/>
    </row>
    <row r="85" spans="1:5" ht="23.25">
      <c r="A85" s="250"/>
      <c r="B85" s="255" t="s">
        <v>46</v>
      </c>
      <c r="C85" s="256">
        <f>SUM(C75:C84)</f>
        <v>2657343.2</v>
      </c>
      <c r="D85" s="256">
        <f>SUM(D75:D84)</f>
        <v>23098081.040000003</v>
      </c>
      <c r="E85" s="250"/>
    </row>
    <row r="86" spans="1:5" ht="23.25">
      <c r="A86" s="250"/>
      <c r="B86" s="251" t="s">
        <v>92</v>
      </c>
      <c r="C86" s="252"/>
      <c r="D86" s="252"/>
      <c r="E86" s="250"/>
    </row>
    <row r="87" spans="1:5" ht="23.25">
      <c r="A87" s="250"/>
      <c r="B87" s="253" t="s">
        <v>355</v>
      </c>
      <c r="C87" s="254">
        <v>1973593.31</v>
      </c>
      <c r="D87" s="254">
        <f>12757159.1+1973593.31</f>
        <v>14730752.41</v>
      </c>
      <c r="E87" s="250"/>
    </row>
    <row r="88" spans="1:5" ht="23.25">
      <c r="A88" s="250"/>
      <c r="B88" s="253" t="s">
        <v>375</v>
      </c>
      <c r="C88" s="254">
        <f>4612.69+72845+7853+31800+38168+29104+31700</f>
        <v>216082.69</v>
      </c>
      <c r="D88" s="254">
        <f>429650+50588.56+2842.38+98345+58194+100000+274817+399100+533441+209732</f>
        <v>2156709.94</v>
      </c>
      <c r="E88" s="250"/>
    </row>
    <row r="89" spans="1:5" ht="23.25">
      <c r="A89" s="250"/>
      <c r="B89" s="253" t="s">
        <v>356</v>
      </c>
      <c r="C89" s="254">
        <v>0</v>
      </c>
      <c r="D89" s="254">
        <v>0</v>
      </c>
      <c r="E89" s="250"/>
    </row>
    <row r="90" spans="1:5" ht="23.25">
      <c r="A90" s="250"/>
      <c r="B90" s="253" t="s">
        <v>357</v>
      </c>
      <c r="C90" s="254">
        <v>0</v>
      </c>
      <c r="D90" s="254">
        <v>0</v>
      </c>
      <c r="E90" s="250"/>
    </row>
    <row r="91" spans="1:5" ht="23.25">
      <c r="A91" s="250"/>
      <c r="B91" s="253" t="s">
        <v>376</v>
      </c>
      <c r="C91" s="254">
        <v>0</v>
      </c>
      <c r="D91" s="254">
        <v>1521038.5</v>
      </c>
      <c r="E91" s="250"/>
    </row>
    <row r="92" spans="1:5" ht="23.25">
      <c r="A92" s="250"/>
      <c r="B92" s="253" t="s">
        <v>351</v>
      </c>
      <c r="C92" s="254">
        <v>0</v>
      </c>
      <c r="D92" s="254">
        <v>0</v>
      </c>
      <c r="E92" s="250"/>
    </row>
    <row r="93" spans="1:5" ht="23.25">
      <c r="A93" s="250"/>
      <c r="B93" s="253" t="s">
        <v>201</v>
      </c>
      <c r="C93" s="254">
        <v>0</v>
      </c>
      <c r="D93" s="254">
        <v>2566</v>
      </c>
      <c r="E93" s="250"/>
    </row>
    <row r="94" spans="1:5" ht="23.25">
      <c r="A94" s="250"/>
      <c r="B94" s="253" t="s">
        <v>103</v>
      </c>
      <c r="C94" s="254">
        <v>420300</v>
      </c>
      <c r="D94" s="254">
        <v>3365000</v>
      </c>
      <c r="E94" s="250"/>
    </row>
    <row r="95" spans="1:5" ht="23.25">
      <c r="A95" s="250"/>
      <c r="B95" s="253" t="s">
        <v>231</v>
      </c>
      <c r="C95" s="254">
        <v>0</v>
      </c>
      <c r="D95" s="254">
        <v>0</v>
      </c>
      <c r="E95" s="250"/>
    </row>
    <row r="96" spans="1:5" ht="23.25">
      <c r="A96" s="250"/>
      <c r="B96" s="255" t="s">
        <v>46</v>
      </c>
      <c r="C96" s="256">
        <f>SUM(C87:C95)</f>
        <v>2609976</v>
      </c>
      <c r="D96" s="256">
        <f>SUM(D87:D95)</f>
        <v>21776066.85</v>
      </c>
      <c r="E96" s="250"/>
    </row>
    <row r="97" spans="1:5" ht="23.25">
      <c r="A97" s="257"/>
      <c r="B97" s="255" t="s">
        <v>358</v>
      </c>
      <c r="C97" s="258">
        <f>SUM(C85-C96)</f>
        <v>47367.200000000186</v>
      </c>
      <c r="D97" s="258">
        <f>SUM(D85-D96)</f>
        <v>1322014.1900000013</v>
      </c>
      <c r="E97" s="257"/>
    </row>
    <row r="98" ht="21.75">
      <c r="D98" s="19" t="s">
        <v>447</v>
      </c>
    </row>
    <row r="100" spans="1:5" ht="23.25">
      <c r="A100" s="259" t="s">
        <v>445</v>
      </c>
      <c r="B100" s="260"/>
      <c r="C100" s="250"/>
      <c r="D100" s="260"/>
      <c r="E100" s="250"/>
    </row>
    <row r="101" spans="1:5" ht="23.25">
      <c r="A101" s="259" t="s">
        <v>446</v>
      </c>
      <c r="B101" s="260"/>
      <c r="C101" s="250"/>
      <c r="D101" s="260"/>
      <c r="E101" s="250"/>
    </row>
    <row r="102" spans="1:5" ht="21.75">
      <c r="A102" s="261"/>
      <c r="B102" s="261" t="s">
        <v>337</v>
      </c>
      <c r="C102" s="261"/>
      <c r="D102" s="261"/>
      <c r="E102" s="261"/>
    </row>
    <row r="103" spans="1:5" ht="21.75">
      <c r="A103" s="261"/>
      <c r="B103" s="261"/>
      <c r="C103" s="261"/>
      <c r="D103" s="261"/>
      <c r="E103" s="261"/>
    </row>
    <row r="104" spans="2:4" ht="24">
      <c r="B104" s="336" t="s">
        <v>371</v>
      </c>
      <c r="C104" s="336"/>
      <c r="D104" s="336"/>
    </row>
    <row r="105" spans="2:4" ht="24">
      <c r="B105" s="336" t="s">
        <v>344</v>
      </c>
      <c r="C105" s="336"/>
      <c r="D105" s="336"/>
    </row>
    <row r="106" spans="2:4" ht="24">
      <c r="B106" s="336" t="s">
        <v>470</v>
      </c>
      <c r="C106" s="336"/>
      <c r="D106" s="336"/>
    </row>
    <row r="107" spans="2:4" ht="24">
      <c r="B107" s="249" t="s">
        <v>78</v>
      </c>
      <c r="C107" s="249" t="s">
        <v>345</v>
      </c>
      <c r="D107" s="249" t="s">
        <v>346</v>
      </c>
    </row>
    <row r="108" spans="2:4" ht="23.25">
      <c r="B108" s="251" t="s">
        <v>347</v>
      </c>
      <c r="C108" s="252"/>
      <c r="D108" s="252"/>
    </row>
    <row r="109" spans="2:4" ht="23.25">
      <c r="B109" s="253" t="s">
        <v>348</v>
      </c>
      <c r="C109" s="254">
        <v>1974982.03</v>
      </c>
      <c r="D109" s="254">
        <v>17447170.5</v>
      </c>
    </row>
    <row r="110" spans="2:4" ht="23.25">
      <c r="B110" s="253" t="s">
        <v>374</v>
      </c>
      <c r="C110" s="254">
        <f>3671.78+7853+139.39+100000+19625+31800+31700+38168+29104</f>
        <v>262061.16999999998</v>
      </c>
      <c r="D110" s="254">
        <f>47272.15+58194+2658.79+4.07+200468.43+78000+274817+399100+533441+209732+50000+429650</f>
        <v>2283337.44</v>
      </c>
    </row>
    <row r="111" spans="2:4" ht="23.25">
      <c r="B111" s="253" t="s">
        <v>38</v>
      </c>
      <c r="C111" s="254">
        <v>0</v>
      </c>
      <c r="D111" s="254">
        <v>7.1</v>
      </c>
    </row>
    <row r="112" spans="2:4" ht="23.25">
      <c r="B112" s="253" t="s">
        <v>349</v>
      </c>
      <c r="C112" s="254">
        <v>0</v>
      </c>
      <c r="D112" s="254">
        <v>0</v>
      </c>
    </row>
    <row r="113" spans="2:4" ht="23.25">
      <c r="B113" s="253" t="s">
        <v>350</v>
      </c>
      <c r="C113" s="254">
        <v>0</v>
      </c>
      <c r="D113" s="254">
        <v>0</v>
      </c>
    </row>
    <row r="114" spans="2:4" ht="23.25">
      <c r="B114" s="253" t="s">
        <v>351</v>
      </c>
      <c r="C114" s="254">
        <v>0</v>
      </c>
      <c r="D114" s="254">
        <v>0</v>
      </c>
    </row>
    <row r="115" spans="2:4" ht="23.25">
      <c r="B115" s="253" t="s">
        <v>352</v>
      </c>
      <c r="C115" s="254">
        <v>0</v>
      </c>
      <c r="D115" s="254">
        <v>2566</v>
      </c>
    </row>
    <row r="116" spans="2:4" ht="23.25">
      <c r="B116" s="253" t="s">
        <v>103</v>
      </c>
      <c r="C116" s="254">
        <v>420300</v>
      </c>
      <c r="D116" s="254">
        <v>3365000</v>
      </c>
    </row>
    <row r="117" spans="2:4" ht="23.25">
      <c r="B117" s="253" t="s">
        <v>353</v>
      </c>
      <c r="C117" s="254">
        <v>0</v>
      </c>
      <c r="D117" s="254">
        <v>0</v>
      </c>
    </row>
    <row r="118" spans="2:4" ht="23.25">
      <c r="B118" s="253" t="s">
        <v>354</v>
      </c>
      <c r="C118" s="254">
        <v>0</v>
      </c>
      <c r="D118" s="254">
        <v>0</v>
      </c>
    </row>
    <row r="119" spans="2:4" ht="23.25">
      <c r="B119" s="255" t="s">
        <v>46</v>
      </c>
      <c r="C119" s="256">
        <f>SUM(C109:C118)</f>
        <v>2657343.2</v>
      </c>
      <c r="D119" s="256">
        <f>SUM(D109:D118)</f>
        <v>23098081.040000003</v>
      </c>
    </row>
    <row r="120" spans="2:4" ht="23.25">
      <c r="B120" s="251" t="s">
        <v>92</v>
      </c>
      <c r="C120" s="252"/>
      <c r="D120" s="252"/>
    </row>
    <row r="121" spans="2:4" ht="23.25">
      <c r="B121" s="253" t="s">
        <v>355</v>
      </c>
      <c r="C121" s="254">
        <v>1973593.31</v>
      </c>
      <c r="D121" s="254">
        <f>12757159.1+1973593.31</f>
        <v>14730752.41</v>
      </c>
    </row>
    <row r="122" spans="2:4" ht="23.25">
      <c r="B122" s="253" t="s">
        <v>375</v>
      </c>
      <c r="C122" s="254">
        <f>4612.69+72845+7853+31800+38168+29104+31700</f>
        <v>216082.69</v>
      </c>
      <c r="D122" s="254">
        <f>429650+50588.56+2842.38+98345+58194+100000+274817+399100+533441+209732</f>
        <v>2156709.94</v>
      </c>
    </row>
    <row r="123" spans="2:4" ht="23.25">
      <c r="B123" s="253" t="s">
        <v>356</v>
      </c>
      <c r="C123" s="254">
        <v>0</v>
      </c>
      <c r="D123" s="254">
        <v>0</v>
      </c>
    </row>
    <row r="124" spans="2:4" ht="23.25">
      <c r="B124" s="253" t="s">
        <v>357</v>
      </c>
      <c r="C124" s="254">
        <v>0</v>
      </c>
      <c r="D124" s="254">
        <v>0</v>
      </c>
    </row>
    <row r="125" spans="2:4" ht="23.25">
      <c r="B125" s="253" t="s">
        <v>376</v>
      </c>
      <c r="C125" s="254">
        <v>0</v>
      </c>
      <c r="D125" s="254">
        <v>1521038.5</v>
      </c>
    </row>
    <row r="126" spans="2:4" ht="23.25">
      <c r="B126" s="253" t="s">
        <v>351</v>
      </c>
      <c r="C126" s="254">
        <v>0</v>
      </c>
      <c r="D126" s="254">
        <v>0</v>
      </c>
    </row>
    <row r="127" spans="2:4" ht="23.25">
      <c r="B127" s="253" t="s">
        <v>201</v>
      </c>
      <c r="C127" s="254">
        <v>0</v>
      </c>
      <c r="D127" s="254">
        <v>2566</v>
      </c>
    </row>
    <row r="128" spans="2:4" ht="23.25">
      <c r="B128" s="253" t="s">
        <v>103</v>
      </c>
      <c r="C128" s="254">
        <v>420300</v>
      </c>
      <c r="D128" s="254">
        <v>3365000</v>
      </c>
    </row>
    <row r="129" spans="2:4" ht="23.25">
      <c r="B129" s="253" t="s">
        <v>231</v>
      </c>
      <c r="C129" s="254">
        <v>0</v>
      </c>
      <c r="D129" s="254">
        <v>0</v>
      </c>
    </row>
    <row r="130" spans="2:4" ht="23.25">
      <c r="B130" s="255" t="s">
        <v>46</v>
      </c>
      <c r="C130" s="256">
        <f>SUM(C121:C129)</f>
        <v>2609976</v>
      </c>
      <c r="D130" s="256">
        <f>SUM(D121:D129)</f>
        <v>21776066.85</v>
      </c>
    </row>
    <row r="131" spans="2:4" ht="23.25">
      <c r="B131" s="255" t="s">
        <v>358</v>
      </c>
      <c r="C131" s="258">
        <f>SUM(C119-C130)</f>
        <v>47367.200000000186</v>
      </c>
      <c r="D131" s="258">
        <f>SUM(D119-D130)</f>
        <v>1322014.1900000013</v>
      </c>
    </row>
    <row r="132" ht="21.75">
      <c r="D132" s="19" t="s">
        <v>447</v>
      </c>
    </row>
    <row r="134" spans="2:4" ht="23.25">
      <c r="B134" s="260"/>
      <c r="C134" s="250"/>
      <c r="D134" s="260"/>
    </row>
    <row r="135" spans="2:4" ht="23.25">
      <c r="B135" s="260"/>
      <c r="C135" s="250"/>
      <c r="D135" s="260"/>
    </row>
    <row r="136" spans="2:4" ht="23.25">
      <c r="B136" s="260"/>
      <c r="C136" s="250"/>
      <c r="D136" s="260"/>
    </row>
    <row r="137" spans="2:4" ht="24">
      <c r="B137" s="336" t="s">
        <v>371</v>
      </c>
      <c r="C137" s="336"/>
      <c r="D137" s="336"/>
    </row>
    <row r="138" spans="2:4" ht="24">
      <c r="B138" s="336" t="s">
        <v>344</v>
      </c>
      <c r="C138" s="336"/>
      <c r="D138" s="336"/>
    </row>
    <row r="139" spans="2:4" ht="24">
      <c r="B139" s="336" t="s">
        <v>492</v>
      </c>
      <c r="C139" s="336"/>
      <c r="D139" s="336"/>
    </row>
    <row r="140" spans="2:4" ht="24">
      <c r="B140" s="249" t="s">
        <v>78</v>
      </c>
      <c r="C140" s="249" t="s">
        <v>345</v>
      </c>
      <c r="D140" s="249" t="s">
        <v>346</v>
      </c>
    </row>
    <row r="141" spans="2:4" ht="23.25">
      <c r="B141" s="251" t="s">
        <v>347</v>
      </c>
      <c r="C141" s="252"/>
      <c r="D141" s="252"/>
    </row>
    <row r="142" spans="2:4" ht="23.25">
      <c r="B142" s="253" t="s">
        <v>348</v>
      </c>
      <c r="C142" s="254">
        <v>1436442.15</v>
      </c>
      <c r="D142" s="254">
        <v>18883612.65</v>
      </c>
    </row>
    <row r="143" spans="2:4" ht="23.25">
      <c r="B143" s="253" t="s">
        <v>374</v>
      </c>
      <c r="C143" s="254">
        <f>2471.69+7853+46.15+680000+12275+30900+36700+64788+28521</f>
        <v>863554.84</v>
      </c>
      <c r="D143" s="254">
        <f>47272.15+58194+2658.79+4.07+200468.43+78000+274817+399100+533441+209732+50000+429650+863554.84</f>
        <v>3146892.28</v>
      </c>
    </row>
    <row r="144" spans="2:4" ht="23.25">
      <c r="B144" s="253" t="s">
        <v>38</v>
      </c>
      <c r="C144" s="254">
        <v>0</v>
      </c>
      <c r="D144" s="254">
        <v>7.1</v>
      </c>
    </row>
    <row r="145" spans="2:4" ht="23.25">
      <c r="B145" s="253" t="s">
        <v>349</v>
      </c>
      <c r="C145" s="254">
        <v>0</v>
      </c>
      <c r="D145" s="254">
        <v>0</v>
      </c>
    </row>
    <row r="146" spans="2:4" ht="23.25">
      <c r="B146" s="253" t="s">
        <v>350</v>
      </c>
      <c r="C146" s="254">
        <v>0</v>
      </c>
      <c r="D146" s="254">
        <v>0</v>
      </c>
    </row>
    <row r="147" spans="2:4" ht="23.25">
      <c r="B147" s="253" t="s">
        <v>351</v>
      </c>
      <c r="C147" s="254">
        <v>320000</v>
      </c>
      <c r="D147" s="254">
        <v>320000</v>
      </c>
    </row>
    <row r="148" spans="2:4" ht="23.25">
      <c r="B148" s="253" t="s">
        <v>352</v>
      </c>
      <c r="C148" s="254">
        <v>0</v>
      </c>
      <c r="D148" s="254">
        <v>2566</v>
      </c>
    </row>
    <row r="149" spans="2:4" ht="23.25">
      <c r="B149" s="253" t="s">
        <v>103</v>
      </c>
      <c r="C149" s="254">
        <v>418600</v>
      </c>
      <c r="D149" s="254">
        <v>3783600</v>
      </c>
    </row>
    <row r="150" spans="2:4" ht="23.25">
      <c r="B150" s="253" t="s">
        <v>353</v>
      </c>
      <c r="C150" s="254">
        <v>0</v>
      </c>
      <c r="D150" s="254">
        <v>0</v>
      </c>
    </row>
    <row r="151" spans="2:4" ht="23.25">
      <c r="B151" s="253" t="s">
        <v>354</v>
      </c>
      <c r="C151" s="254">
        <v>0</v>
      </c>
      <c r="D151" s="254">
        <v>0</v>
      </c>
    </row>
    <row r="152" spans="2:8" ht="23.25">
      <c r="B152" s="255" t="s">
        <v>46</v>
      </c>
      <c r="C152" s="256">
        <f>SUM(C142:C151)</f>
        <v>3038596.9899999998</v>
      </c>
      <c r="D152" s="256">
        <f>SUM(D142:D151)</f>
        <v>26136678.03</v>
      </c>
      <c r="H152" s="51"/>
    </row>
    <row r="153" spans="2:4" ht="23.25">
      <c r="B153" s="251" t="s">
        <v>92</v>
      </c>
      <c r="C153" s="252"/>
      <c r="D153" s="252"/>
    </row>
    <row r="154" spans="2:4" ht="23.25">
      <c r="B154" s="253" t="s">
        <v>355</v>
      </c>
      <c r="C154" s="254">
        <v>1587300.75</v>
      </c>
      <c r="D154" s="254">
        <v>16318053.16</v>
      </c>
    </row>
    <row r="155" spans="2:4" ht="23.25">
      <c r="B155" s="253" t="s">
        <v>375</v>
      </c>
      <c r="C155" s="254">
        <f>3671.78+21250+7853+30900+36700+64788+28521</f>
        <v>193683.78</v>
      </c>
      <c r="D155" s="254">
        <f>429650+50588.56+2842.38+98345+58194+100000+274817+399100+533441+209732+193683.78</f>
        <v>2350393.7199999997</v>
      </c>
    </row>
    <row r="156" spans="2:4" ht="23.25">
      <c r="B156" s="253" t="s">
        <v>356</v>
      </c>
      <c r="C156" s="254">
        <v>0</v>
      </c>
      <c r="D156" s="254">
        <v>0</v>
      </c>
    </row>
    <row r="157" spans="2:4" ht="23.25">
      <c r="B157" s="253" t="s">
        <v>357</v>
      </c>
      <c r="C157" s="254">
        <v>0</v>
      </c>
      <c r="D157" s="254">
        <v>0</v>
      </c>
    </row>
    <row r="158" spans="2:4" ht="23.25">
      <c r="B158" s="253" t="s">
        <v>376</v>
      </c>
      <c r="C158" s="254">
        <v>0</v>
      </c>
      <c r="D158" s="254">
        <v>1521038.5</v>
      </c>
    </row>
    <row r="159" spans="2:4" ht="23.25">
      <c r="B159" s="253" t="s">
        <v>351</v>
      </c>
      <c r="C159" s="254">
        <v>1180000</v>
      </c>
      <c r="D159" s="254">
        <v>1180000</v>
      </c>
    </row>
    <row r="160" spans="2:4" ht="23.25">
      <c r="B160" s="253" t="s">
        <v>201</v>
      </c>
      <c r="C160" s="254">
        <v>0</v>
      </c>
      <c r="D160" s="254">
        <v>2566</v>
      </c>
    </row>
    <row r="161" spans="2:4" ht="23.25">
      <c r="B161" s="253" t="s">
        <v>103</v>
      </c>
      <c r="C161" s="254">
        <v>418600</v>
      </c>
      <c r="D161" s="254">
        <v>3783600</v>
      </c>
    </row>
    <row r="162" spans="2:4" ht="23.25">
      <c r="B162" s="253" t="s">
        <v>231</v>
      </c>
      <c r="C162" s="254">
        <v>0</v>
      </c>
      <c r="D162" s="254">
        <v>0</v>
      </c>
    </row>
    <row r="163" spans="2:4" ht="23.25">
      <c r="B163" s="255" t="s">
        <v>46</v>
      </c>
      <c r="C163" s="256">
        <f>SUM(C154:C162)</f>
        <v>3379584.5300000003</v>
      </c>
      <c r="D163" s="256">
        <f>SUM(D154:D162)</f>
        <v>25155651.38</v>
      </c>
    </row>
    <row r="164" spans="2:4" ht="23.25">
      <c r="B164" s="255" t="s">
        <v>358</v>
      </c>
      <c r="C164" s="258">
        <f>SUM(C152-C163)</f>
        <v>-340987.5400000005</v>
      </c>
      <c r="D164" s="258">
        <f>SUM(D152-D163)</f>
        <v>981026.6500000022</v>
      </c>
    </row>
    <row r="165" ht="21.75">
      <c r="D165" s="19" t="s">
        <v>447</v>
      </c>
    </row>
    <row r="169" spans="2:4" ht="23.25">
      <c r="B169" s="260"/>
      <c r="C169" s="250"/>
      <c r="D169" s="260"/>
    </row>
    <row r="170" spans="2:4" ht="24">
      <c r="B170" s="336" t="s">
        <v>371</v>
      </c>
      <c r="C170" s="336"/>
      <c r="D170" s="336"/>
    </row>
    <row r="171" spans="2:4" ht="24">
      <c r="B171" s="336" t="s">
        <v>344</v>
      </c>
      <c r="C171" s="336"/>
      <c r="D171" s="336"/>
    </row>
    <row r="172" spans="2:4" ht="24">
      <c r="B172" s="336" t="s">
        <v>588</v>
      </c>
      <c r="C172" s="336"/>
      <c r="D172" s="336"/>
    </row>
    <row r="173" spans="2:4" ht="24">
      <c r="B173" s="249" t="s">
        <v>78</v>
      </c>
      <c r="C173" s="249" t="s">
        <v>345</v>
      </c>
      <c r="D173" s="249" t="s">
        <v>346</v>
      </c>
    </row>
    <row r="174" spans="2:4" ht="23.25">
      <c r="B174" s="251" t="s">
        <v>347</v>
      </c>
      <c r="C174" s="252"/>
      <c r="D174" s="252"/>
    </row>
    <row r="175" spans="2:4" ht="23.25">
      <c r="B175" s="253" t="s">
        <v>348</v>
      </c>
      <c r="C175" s="254">
        <v>2159783.19</v>
      </c>
      <c r="D175" s="254">
        <v>21043395.84</v>
      </c>
    </row>
    <row r="176" spans="2:4" ht="23.25">
      <c r="B176" s="253" t="s">
        <v>374</v>
      </c>
      <c r="C176" s="254">
        <v>187169.23</v>
      </c>
      <c r="D176" s="254">
        <v>3334061.5</v>
      </c>
    </row>
    <row r="177" spans="2:4" ht="23.25">
      <c r="B177" s="253" t="s">
        <v>38</v>
      </c>
      <c r="C177" s="254">
        <v>0</v>
      </c>
      <c r="D177" s="254">
        <v>7.1</v>
      </c>
    </row>
    <row r="178" spans="2:4" ht="23.25">
      <c r="B178" s="253" t="s">
        <v>349</v>
      </c>
      <c r="C178" s="254">
        <v>0</v>
      </c>
      <c r="D178" s="254">
        <v>0</v>
      </c>
    </row>
    <row r="179" spans="2:4" ht="23.25">
      <c r="B179" s="253" t="s">
        <v>350</v>
      </c>
      <c r="C179" s="254">
        <v>0</v>
      </c>
      <c r="D179" s="254">
        <v>0</v>
      </c>
    </row>
    <row r="180" spans="2:4" ht="23.25">
      <c r="B180" s="253" t="s">
        <v>351</v>
      </c>
      <c r="C180" s="254">
        <v>80000</v>
      </c>
      <c r="D180" s="254">
        <v>400000</v>
      </c>
    </row>
    <row r="181" spans="2:4" ht="23.25">
      <c r="B181" s="253" t="s">
        <v>352</v>
      </c>
      <c r="C181" s="254">
        <v>0</v>
      </c>
      <c r="D181" s="254">
        <v>2566</v>
      </c>
    </row>
    <row r="182" spans="2:4" ht="23.25">
      <c r="B182" s="253" t="s">
        <v>103</v>
      </c>
      <c r="C182" s="254">
        <v>419200</v>
      </c>
      <c r="D182" s="254">
        <v>4202800</v>
      </c>
    </row>
    <row r="183" spans="2:4" ht="23.25">
      <c r="B183" s="253" t="s">
        <v>353</v>
      </c>
      <c r="C183" s="254">
        <v>0</v>
      </c>
      <c r="D183" s="254">
        <v>0</v>
      </c>
    </row>
    <row r="184" spans="2:4" ht="23.25">
      <c r="B184" s="253" t="s">
        <v>354</v>
      </c>
      <c r="C184" s="254">
        <v>0</v>
      </c>
      <c r="D184" s="254">
        <v>0</v>
      </c>
    </row>
    <row r="185" spans="2:4" ht="23.25">
      <c r="B185" s="255" t="s">
        <v>46</v>
      </c>
      <c r="C185" s="256">
        <f>SUM(C175:C184)</f>
        <v>2846152.42</v>
      </c>
      <c r="D185" s="256">
        <f>SUM(D175:D184)</f>
        <v>28982830.44</v>
      </c>
    </row>
    <row r="186" spans="2:4" ht="23.25">
      <c r="B186" s="251" t="s">
        <v>92</v>
      </c>
      <c r="C186" s="252"/>
      <c r="D186" s="252"/>
    </row>
    <row r="187" spans="2:4" ht="23.25">
      <c r="B187" s="253" t="s">
        <v>355</v>
      </c>
      <c r="C187" s="254">
        <v>1970173.78</v>
      </c>
      <c r="D187" s="254">
        <v>18288226.94</v>
      </c>
    </row>
    <row r="188" spans="2:4" ht="23.25">
      <c r="B188" s="253" t="s">
        <v>375</v>
      </c>
      <c r="C188" s="254">
        <v>239590.69</v>
      </c>
      <c r="D188" s="254">
        <v>2589984.41</v>
      </c>
    </row>
    <row r="189" spans="2:4" ht="23.25">
      <c r="B189" s="253" t="s">
        <v>356</v>
      </c>
      <c r="C189" s="254"/>
      <c r="D189" s="254">
        <v>0</v>
      </c>
    </row>
    <row r="190" spans="2:4" ht="23.25">
      <c r="B190" s="253" t="s">
        <v>357</v>
      </c>
      <c r="C190" s="254"/>
      <c r="D190" s="254">
        <v>0</v>
      </c>
    </row>
    <row r="191" spans="2:4" ht="23.25">
      <c r="B191" s="253" t="s">
        <v>376</v>
      </c>
      <c r="C191" s="254"/>
      <c r="D191" s="254">
        <v>1521038.5</v>
      </c>
    </row>
    <row r="192" spans="2:4" ht="23.25">
      <c r="B192" s="253" t="s">
        <v>351</v>
      </c>
      <c r="C192" s="254">
        <v>100000</v>
      </c>
      <c r="D192" s="254">
        <v>1280000</v>
      </c>
    </row>
    <row r="193" spans="2:4" ht="23.25">
      <c r="B193" s="253" t="s">
        <v>201</v>
      </c>
      <c r="C193" s="254">
        <v>0</v>
      </c>
      <c r="D193" s="254">
        <v>2566</v>
      </c>
    </row>
    <row r="194" spans="2:4" ht="23.25">
      <c r="B194" s="253" t="s">
        <v>103</v>
      </c>
      <c r="C194" s="254">
        <v>419200</v>
      </c>
      <c r="D194" s="254">
        <v>4202800</v>
      </c>
    </row>
    <row r="195" spans="2:4" ht="23.25">
      <c r="B195" s="253" t="s">
        <v>231</v>
      </c>
      <c r="C195" s="254">
        <v>0</v>
      </c>
      <c r="D195" s="254">
        <v>0</v>
      </c>
    </row>
    <row r="196" spans="2:4" ht="23.25">
      <c r="B196" s="255" t="s">
        <v>46</v>
      </c>
      <c r="C196" s="256">
        <f>SUM(C187:C195)</f>
        <v>2728964.47</v>
      </c>
      <c r="D196" s="256">
        <f>SUM(D187:D195)</f>
        <v>27884615.85</v>
      </c>
    </row>
    <row r="197" spans="2:4" ht="23.25">
      <c r="B197" s="255" t="s">
        <v>358</v>
      </c>
      <c r="C197" s="258">
        <f>SUM(C185-C196)</f>
        <v>117187.94999999972</v>
      </c>
      <c r="D197" s="258">
        <f>SUM(D185-D196)</f>
        <v>1098214.5899999999</v>
      </c>
    </row>
    <row r="198" ht="21.75">
      <c r="D198" s="19" t="s">
        <v>447</v>
      </c>
    </row>
  </sheetData>
  <sheetProtection/>
  <mergeCells count="18">
    <mergeCell ref="B70:D70"/>
    <mergeCell ref="B71:D71"/>
    <mergeCell ref="B72:D72"/>
    <mergeCell ref="B38:D38"/>
    <mergeCell ref="B39:D39"/>
    <mergeCell ref="B2:D2"/>
    <mergeCell ref="B3:D3"/>
    <mergeCell ref="B4:D4"/>
    <mergeCell ref="B37:D37"/>
    <mergeCell ref="B170:D170"/>
    <mergeCell ref="B171:D171"/>
    <mergeCell ref="B172:D172"/>
    <mergeCell ref="B104:D104"/>
    <mergeCell ref="B105:D105"/>
    <mergeCell ref="B106:D106"/>
    <mergeCell ref="B137:D137"/>
    <mergeCell ref="B138:D138"/>
    <mergeCell ref="B139:D139"/>
  </mergeCells>
  <printOptions/>
  <pageMargins left="0.39" right="0.2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9" sqref="G9"/>
    </sheetView>
  </sheetViews>
  <sheetFormatPr defaultColWidth="9.140625" defaultRowHeight="21.75"/>
  <cols>
    <col min="1" max="1" width="2.57421875" style="19" customWidth="1"/>
    <col min="2" max="2" width="45.140625" style="19" customWidth="1"/>
    <col min="3" max="3" width="12.8515625" style="19" customWidth="1"/>
    <col min="4" max="4" width="13.28125" style="19" customWidth="1"/>
    <col min="5" max="5" width="10.8515625" style="19" customWidth="1"/>
    <col min="6" max="6" width="15.7109375" style="19" customWidth="1"/>
    <col min="7" max="7" width="9.140625" style="19" customWidth="1"/>
    <col min="8" max="8" width="12.421875" style="19" customWidth="1"/>
    <col min="9" max="9" width="12.8515625" style="19" customWidth="1"/>
    <col min="10" max="16384" width="9.140625" style="19" customWidth="1"/>
  </cols>
  <sheetData>
    <row r="1" spans="2:6" ht="22.5" customHeight="1">
      <c r="B1" s="377" t="s">
        <v>379</v>
      </c>
      <c r="C1" s="377"/>
      <c r="D1" s="377"/>
      <c r="E1" s="377"/>
      <c r="F1" s="377"/>
    </row>
    <row r="2" spans="2:6" ht="24" customHeight="1">
      <c r="B2" s="377" t="s">
        <v>380</v>
      </c>
      <c r="C2" s="377"/>
      <c r="D2" s="377"/>
      <c r="E2" s="377"/>
      <c r="F2" s="377"/>
    </row>
    <row r="3" spans="2:6" ht="10.5" customHeight="1">
      <c r="B3" s="262"/>
      <c r="C3" s="262"/>
      <c r="D3" s="262"/>
      <c r="E3" s="262"/>
      <c r="F3" s="262"/>
    </row>
    <row r="4" spans="2:6" ht="29.25" customHeight="1">
      <c r="B4" s="263" t="s">
        <v>381</v>
      </c>
      <c r="C4" s="264" t="s">
        <v>113</v>
      </c>
      <c r="D4" s="264" t="s">
        <v>359</v>
      </c>
      <c r="E4" s="264" t="s">
        <v>360</v>
      </c>
      <c r="F4" s="264" t="s">
        <v>114</v>
      </c>
    </row>
    <row r="5" spans="2:6" ht="24.75" customHeight="1">
      <c r="B5" s="265" t="s">
        <v>15</v>
      </c>
      <c r="C5" s="266"/>
      <c r="D5" s="266"/>
      <c r="E5" s="266"/>
      <c r="F5" s="267"/>
    </row>
    <row r="6" spans="2:6" ht="26.25" customHeight="1">
      <c r="B6" s="265" t="s">
        <v>110</v>
      </c>
      <c r="C6" s="266"/>
      <c r="D6" s="266"/>
      <c r="E6" s="266"/>
      <c r="F6" s="267"/>
    </row>
    <row r="7" spans="2:6" ht="22.5" customHeight="1">
      <c r="B7" s="265" t="s">
        <v>361</v>
      </c>
      <c r="C7" s="266"/>
      <c r="D7" s="266"/>
      <c r="E7" s="266"/>
      <c r="F7" s="267"/>
    </row>
    <row r="8" spans="2:6" ht="21" customHeight="1">
      <c r="B8" s="265" t="s">
        <v>362</v>
      </c>
      <c r="C8" s="266"/>
      <c r="D8" s="266"/>
      <c r="E8" s="266"/>
      <c r="F8" s="267"/>
    </row>
    <row r="9" spans="2:6" ht="27.75" customHeight="1">
      <c r="B9" s="265" t="s">
        <v>363</v>
      </c>
      <c r="C9" s="266"/>
      <c r="D9" s="266"/>
      <c r="E9" s="266"/>
      <c r="F9" s="267"/>
    </row>
    <row r="10" spans="2:6" ht="27.75" customHeight="1">
      <c r="B10" s="265" t="s">
        <v>364</v>
      </c>
      <c r="C10" s="266"/>
      <c r="D10" s="266"/>
      <c r="E10" s="266"/>
      <c r="F10" s="267"/>
    </row>
    <row r="11" spans="2:6" ht="29.25" customHeight="1">
      <c r="B11" s="265"/>
      <c r="C11" s="266"/>
      <c r="D11" s="266"/>
      <c r="E11" s="266"/>
      <c r="F11" s="267"/>
    </row>
    <row r="12" spans="2:6" s="268" customFormat="1" ht="35.25" customHeight="1">
      <c r="B12" s="269" t="s">
        <v>46</v>
      </c>
      <c r="C12" s="270">
        <f>SUM(C5:C11)</f>
        <v>0</v>
      </c>
      <c r="D12" s="270">
        <f>SUM(D5:D11)</f>
        <v>0</v>
      </c>
      <c r="E12" s="270">
        <f>SUM(E5:E11)</f>
        <v>0</v>
      </c>
      <c r="F12" s="270">
        <f>SUM(F5:F11)</f>
        <v>0</v>
      </c>
    </row>
    <row r="13" spans="2:3" ht="19.5" customHeight="1">
      <c r="B13" s="271"/>
      <c r="C13" s="271"/>
    </row>
    <row r="14" spans="2:6" s="261" customFormat="1" ht="27.75" customHeight="1">
      <c r="B14" s="272" t="s">
        <v>18</v>
      </c>
      <c r="C14" s="228" t="s">
        <v>113</v>
      </c>
      <c r="D14" s="228" t="s">
        <v>359</v>
      </c>
      <c r="E14" s="228" t="s">
        <v>360</v>
      </c>
      <c r="F14" s="228" t="s">
        <v>114</v>
      </c>
    </row>
    <row r="15" spans="2:6" s="261" customFormat="1" ht="69" customHeight="1">
      <c r="B15" s="273" t="s">
        <v>365</v>
      </c>
      <c r="C15" s="274">
        <v>192000</v>
      </c>
      <c r="D15" s="274">
        <v>0</v>
      </c>
      <c r="E15" s="274">
        <v>0</v>
      </c>
      <c r="F15" s="274">
        <f>SUM(C15+D15-E15)</f>
        <v>192000</v>
      </c>
    </row>
    <row r="16" spans="2:6" s="261" customFormat="1" ht="69.75" customHeight="1">
      <c r="B16" s="273" t="s">
        <v>366</v>
      </c>
      <c r="C16" s="274">
        <v>135000</v>
      </c>
      <c r="D16" s="274">
        <v>0</v>
      </c>
      <c r="E16" s="274">
        <v>0</v>
      </c>
      <c r="F16" s="274">
        <f>SUM(C16+D16-E16)</f>
        <v>135000</v>
      </c>
    </row>
    <row r="17" spans="2:6" s="261" customFormat="1" ht="74.25" customHeight="1">
      <c r="B17" s="273" t="s">
        <v>367</v>
      </c>
      <c r="C17" s="274">
        <v>98000</v>
      </c>
      <c r="D17" s="274">
        <v>0</v>
      </c>
      <c r="E17" s="274">
        <v>0</v>
      </c>
      <c r="F17" s="274">
        <f>SUM(C17+D17-E17)</f>
        <v>98000</v>
      </c>
    </row>
    <row r="18" spans="2:6" s="261" customFormat="1" ht="77.25" customHeight="1">
      <c r="B18" s="273" t="s">
        <v>368</v>
      </c>
      <c r="C18" s="274">
        <v>64000</v>
      </c>
      <c r="D18" s="274">
        <v>0</v>
      </c>
      <c r="E18" s="274">
        <v>0</v>
      </c>
      <c r="F18" s="274">
        <f>SUM(C18+D18-E18)</f>
        <v>64000</v>
      </c>
    </row>
    <row r="19" spans="2:9" s="268" customFormat="1" ht="33" customHeight="1">
      <c r="B19" s="228" t="s">
        <v>46</v>
      </c>
      <c r="C19" s="270">
        <f>SUM(C15:C18)</f>
        <v>489000</v>
      </c>
      <c r="D19" s="270">
        <f>SUM(D15:D18)</f>
        <v>0</v>
      </c>
      <c r="E19" s="270">
        <f>SUM(E15:E18)</f>
        <v>0</v>
      </c>
      <c r="F19" s="274">
        <f>SUM(C19+D19-E19)</f>
        <v>489000</v>
      </c>
      <c r="H19" s="275"/>
      <c r="I19" s="275"/>
    </row>
    <row r="20" spans="2:9" s="268" customFormat="1" ht="33.75" customHeight="1">
      <c r="B20" s="276"/>
      <c r="C20" s="277"/>
      <c r="D20" s="277"/>
      <c r="E20" s="277"/>
      <c r="F20" s="278"/>
      <c r="H20" s="275"/>
      <c r="I20" s="275"/>
    </row>
    <row r="21" spans="4:6" ht="48.75" customHeight="1">
      <c r="D21" s="94"/>
      <c r="E21" s="94"/>
      <c r="F21" s="207"/>
    </row>
    <row r="22" spans="1:4" ht="24.75" customHeight="1">
      <c r="A22" s="20" t="s">
        <v>369</v>
      </c>
      <c r="B22" s="100"/>
      <c r="D22" s="100"/>
    </row>
    <row r="23" spans="1:4" ht="22.5" customHeight="1">
      <c r="A23" s="20" t="s">
        <v>370</v>
      </c>
      <c r="B23" s="100"/>
      <c r="D23" s="100"/>
    </row>
    <row r="24" spans="1:4" ht="24.75" customHeight="1">
      <c r="A24" s="20"/>
      <c r="B24" s="100"/>
      <c r="D24" s="100"/>
    </row>
    <row r="25" ht="27.75" customHeight="1"/>
    <row r="26" ht="26.25" customHeight="1"/>
    <row r="27" ht="27" customHeight="1"/>
    <row r="28" ht="23.25" customHeight="1"/>
    <row r="29" ht="24.75" customHeight="1"/>
    <row r="30" ht="24.75" customHeight="1"/>
    <row r="31" ht="23.25" customHeight="1"/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COMT</cp:lastModifiedBy>
  <cp:lastPrinted>2017-10-12T07:03:03Z</cp:lastPrinted>
  <dcterms:created xsi:type="dcterms:W3CDTF">2002-03-19T05:28:25Z</dcterms:created>
  <dcterms:modified xsi:type="dcterms:W3CDTF">2017-10-12T09:33:07Z</dcterms:modified>
  <cp:category/>
  <cp:version/>
  <cp:contentType/>
  <cp:contentStatus/>
</cp:coreProperties>
</file>